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drawings/drawing3.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comments2.xml" ContentType="application/vnd.openxmlformats-officedocument.spreadsheetml.comments+xml"/>
  <Override PartName="/xl/drawings/drawing4.xml" ContentType="application/vnd.openxmlformats-officedocument.drawing+xml"/>
  <Override PartName="/xl/activeX/activeX16.xml" ContentType="application/vnd.ms-office.activeX+xml"/>
  <Override PartName="/xl/activeX/activeX16.bin" ContentType="application/vnd.ms-office.activeX"/>
  <Override PartName="/xl/pivotTables/pivotTable1.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charts/chart1.xml" ContentType="application/vnd.openxmlformats-officedocument.drawingml.chart+xml"/>
  <Override PartName="/xl/charts/chart2.xml" ContentType="application/vnd.openxmlformats-officedocument.drawingml.chart+xml"/>
  <Override PartName="/xl/pivotTables/pivotTable2.xml" ContentType="application/vnd.openxmlformats-officedocument.spreadsheetml.pivotTable+xml"/>
  <Override PartName="/xl/drawings/drawing7.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8.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comments4.xml" ContentType="application/vnd.openxmlformats-officedocument.spreadsheetml.comments+xml"/>
  <Override PartName="/xl/drawings/drawing9.xml" ContentType="application/vnd.openxmlformats-officedocument.drawing+xml"/>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01"/>
  <workbookPr codeName="ThisWorkbook"/>
  <mc:AlternateContent xmlns:mc="http://schemas.openxmlformats.org/markup-compatibility/2006">
    <mc:Choice Requires="x15">
      <x15ac:absPath xmlns:x15ac="http://schemas.microsoft.com/office/spreadsheetml/2010/11/ac" url="C:\Users\alex.osmond\Desktop\"/>
    </mc:Choice>
  </mc:AlternateContent>
  <bookViews>
    <workbookView xWindow="-105" yWindow="360" windowWidth="15480" windowHeight="10995" firstSheet="1" activeTab="2"/>
  </bookViews>
  <sheets>
    <sheet name="Start" sheetId="2" r:id="rId1"/>
    <sheet name="Delivery Cost" sheetId="14" r:id="rId2"/>
    <sheet name="Costs_master" sheetId="1" r:id="rId3"/>
    <sheet name="Outcomes" sheetId="15" r:id="rId4"/>
    <sheet name="Fam_Data" sheetId="8" state="hidden" r:id="rId5"/>
    <sheet name="Fam Chart" sheetId="3" r:id="rId6"/>
    <sheet name="Case_Data" sheetId="13" state="hidden" r:id="rId7"/>
    <sheet name="Caseload Chart" sheetId="12" r:id="rId8"/>
    <sheet name="FM1_Mother" sheetId="16" r:id="rId9"/>
    <sheet name="FM3_Child A" sheetId="18" r:id="rId10"/>
  </sheets>
  <externalReferences>
    <externalReference r:id="rId11"/>
  </externalReferences>
  <definedNames>
    <definedName name="_fam1">Start!$E$9</definedName>
    <definedName name="_fam10">Start!$E$27</definedName>
    <definedName name="_fam2">Start!$E$11</definedName>
    <definedName name="_fam3">Start!$E$13</definedName>
    <definedName name="_fam4">Start!$E$15</definedName>
    <definedName name="_fam5">Start!$E$17</definedName>
    <definedName name="_fam6">Start!$E$19</definedName>
    <definedName name="_fam7">Start!$E$21</definedName>
    <definedName name="_fam8">Start!$E$23</definedName>
    <definedName name="_fam9">Start!$E$25</definedName>
    <definedName name="_pc1">Start!$H$9</definedName>
    <definedName name="agencysavings">Case_Data!$U$29</definedName>
    <definedName name="avg_areas">Case_Data!$N$21</definedName>
    <definedName name="avg_commsec">Case_Data!$N$9</definedName>
    <definedName name="avg_crimasb">Case_Data!$N$1</definedName>
    <definedName name="avg_criminal">Case_Data!$N$10</definedName>
    <definedName name="avg_domesticviolence">Case_Data!$N$7</definedName>
    <definedName name="avg_drug">Case_Data!$N$2</definedName>
    <definedName name="avg_education">Case_Data!$N$3</definedName>
    <definedName name="avg_fam">Case_Data!$N$20</definedName>
    <definedName name="avg_family">Case_Data!$N$19</definedName>
    <definedName name="avg_healthcare">Case_Data!$N$4</definedName>
    <definedName name="avg_healthservice">Case_Data!$N$11</definedName>
    <definedName name="avg_housing">Case_Data!$N$5</definedName>
    <definedName name="avg_la">Case_Data!$N$12</definedName>
    <definedName name="avg_police">Case_Data!$N$13</definedName>
    <definedName name="avg_privatesec">Case_Data!$N$14</definedName>
    <definedName name="avg_socialcare">Case_Data!$N$6</definedName>
    <definedName name="avg_socialservices">Case_Data!$N$15</definedName>
    <definedName name="avg_society">Case_Data!$N$16</definedName>
    <definedName name="avg_various">Case_Data!$N$17</definedName>
    <definedName name="avg_yot">Case_Data!$N$18</definedName>
    <definedName name="casechart1" localSheetId="3">OFFSET([1]Case_Data!$A$2,1,5,COUNTA([1]Case_Data!$A$2:$A$80),1)</definedName>
    <definedName name="casechart1">OFFSET(Case_Data!$A$2,1,5,COUNTA(Case_Data!$A$2:$A$80),1)</definedName>
    <definedName name="casechart1_area" localSheetId="3">OFFSET([1]Case_Data!$E$3,0,0,COUNTA([1]Case_Data!$A$2:$A$1000),2)</definedName>
    <definedName name="casechart1_area">OFFSET(Case_Data!$E$3,0,0,COUNTA(Case_Data!$A$2:$A$1000),2)</definedName>
    <definedName name="casechart1_labels" localSheetId="3">OFFSET([1]Case_Data!$B$2,1,3,COUNTA([1]Case_Data!$A$2:$A$80),1)</definedName>
    <definedName name="casechart1_labels">OFFSET(Case_Data!$B$2,1,3,COUNTA(Case_Data!$A$2:$A$80),1)</definedName>
    <definedName name="casechart1_pivot" localSheetId="3">OFFSET([1]Case_Data!$A$1,0,0,COUNTA([1]Case_Data!$A$1:$A$1000),3)</definedName>
    <definedName name="casechart1_pivot">OFFSET(Case_Data!$A$1,0,0,COUNTA(Case_Data!$A$1:$A$1000),3)</definedName>
    <definedName name="caseloadsavings">Start!$V$13</definedName>
    <definedName name="casepivotstart">Case_Data!$E$3</definedName>
    <definedName name="category">Start!$K$22:$K$28</definedName>
    <definedName name="category_savings">Start!$N$22</definedName>
    <definedName name="chkaverage">'Caseload Chart'!$U$30</definedName>
    <definedName name="chkpostint" localSheetId="8">FM1_Mother!$K$1</definedName>
    <definedName name="chkpostint" localSheetId="9">'FM3_Child A'!$K$1</definedName>
    <definedName name="chkpostint">Costs_master!$K$1</definedName>
    <definedName name="costs_annual">'Delivery Cost'!$D$34</definedName>
    <definedName name="costs_operational">'Delivery Cost'!$D$21:$D$30</definedName>
    <definedName name="costs_staff">'Delivery Cost'!$D$5:$D$8</definedName>
    <definedName name="costs_universal">'Delivery Cost'!$D$12:$D$17</definedName>
    <definedName name="CostType">Start!$K$22:$AB$28</definedName>
    <definedName name="crimeasb" localSheetId="8">FM1_Mother!$I$7:$I$25</definedName>
    <definedName name="crimeasb" localSheetId="9">'FM3_Child A'!$I$7:$I$25</definedName>
    <definedName name="crimeasb">Costs_master!$I$7:$I$25</definedName>
    <definedName name="crimeasbp" localSheetId="8">FM1_Mother!$L$7:$L$25</definedName>
    <definedName name="crimeasbp" localSheetId="9">'FM3_Child A'!$L$7:$L$25</definedName>
    <definedName name="crimeasbp">Costs_master!$L$7:$L$25</definedName>
    <definedName name="cust_start">Fam_Data!$A$75</definedName>
    <definedName name="domesticviolence" localSheetId="8">FM1_Mother!#REF!</definedName>
    <definedName name="domesticviolence" localSheetId="9">'FM3_Child A'!#REF!</definedName>
    <definedName name="domesticviolence">Costs_master!#REF!</definedName>
    <definedName name="drugs" localSheetId="8">FM1_Mother!$I$73:$I$77</definedName>
    <definedName name="drugs" localSheetId="9">'FM3_Child A'!$I$73:$I$77</definedName>
    <definedName name="drugs">Costs_master!$I$73:$I$77</definedName>
    <definedName name="drugsp" localSheetId="8">FM1_Mother!$L$73:$L$77</definedName>
    <definedName name="drugsp" localSheetId="9">'FM3_Child A'!$L$73:$L$77</definedName>
    <definedName name="drugsp">Costs_master!$L$73:$L$77</definedName>
    <definedName name="education" localSheetId="8">FM1_Mother!$I$28:$I$35</definedName>
    <definedName name="education" localSheetId="9">'FM3_Child A'!$I$28:$I$35</definedName>
    <definedName name="education">Costs_master!$I$28:$I$35</definedName>
    <definedName name="educationp" localSheetId="8">FM1_Mother!$L$28:$L$35</definedName>
    <definedName name="educationp" localSheetId="9">'FM3_Child A'!$L$28:$L$35</definedName>
    <definedName name="educationp">Costs_master!$L$28:$L$35</definedName>
    <definedName name="extralines" localSheetId="8">FM1_Mother!$I$97:$I$106</definedName>
    <definedName name="extralines" localSheetId="9">'FM3_Child A'!$I$97:$I$106</definedName>
    <definedName name="extralines">Costs_master!$I$97:$I$106</definedName>
    <definedName name="extralinesp" localSheetId="8">FM1_Mother!$L$97:$L$106</definedName>
    <definedName name="extralinesp" localSheetId="9">'FM3_Child A'!$L$97:$L$106</definedName>
    <definedName name="extralinesp">Costs_master!$L$97:$L$106</definedName>
    <definedName name="famchart1" localSheetId="3">OFFSET([1]Fam_Data!$F$2,1,5,COUNT([1]Fam_Data!$F$2:$F$196),1)</definedName>
    <definedName name="famchart1">OFFSET(Fam_Data!$F$2,1,5,COUNT(Fam_Data!$F$2:$F$190),1)</definedName>
    <definedName name="famchart1_labels" localSheetId="3">OFFSET([1]Fam_Data!$G$2,1,3,COUNT([1]Fam_Data!$F$2:$F$196),1)</definedName>
    <definedName name="famchart1_labels">OFFSET(Fam_Data!$G$2,1,3,COUNT(Fam_Data!$F$2:$F$190),1)</definedName>
    <definedName name="famchart1_pivot" localSheetId="3">OFFSET([1]Fam_Data!$F$1,0,0,COUNT([1]Fam_Data!$F$1:$F$196)+1,2)</definedName>
    <definedName name="famchart1_pivot">OFFSET(Fam_Data!$F$1,0,0,COUNT(Fam_Data!$F$1:$F$190)+1,2)</definedName>
    <definedName name="famtotal" localSheetId="8">FM1_Mother!$I$1</definedName>
    <definedName name="famtotal" localSheetId="9">'FM3_Child A'!$I$1</definedName>
    <definedName name="famtotal">Costs_master!$I$1</definedName>
    <definedName name="fipcost">Start!$C$33</definedName>
    <definedName name="healthcare" localSheetId="8">FM1_Mother!$I$53:$I$70</definedName>
    <definedName name="healthcare" localSheetId="9">'FM3_Child A'!$I$53:$I$70</definedName>
    <definedName name="healthcare">Costs_master!$I$53:$I$70</definedName>
    <definedName name="healthcarep" localSheetId="8">FM1_Mother!$L$53:$L$70</definedName>
    <definedName name="healthcarep" localSheetId="9">'FM3_Child A'!$L$53:$L$70</definedName>
    <definedName name="healthcarep">Costs_master!$L$53:$L$70</definedName>
    <definedName name="housing" localSheetId="8">FM1_Mother!$I$38:$I$50</definedName>
    <definedName name="housing" localSheetId="9">'FM3_Child A'!$I$38:$I$50</definedName>
    <definedName name="housing">Costs_master!$I$38:$I$50</definedName>
    <definedName name="housingp" localSheetId="8">FM1_Mother!$L$38:$L$50</definedName>
    <definedName name="housingp" localSheetId="9">'FM3_Child A'!$L$38:$L$50</definedName>
    <definedName name="housingp">Costs_master!$L$38:$L$50</definedName>
    <definedName name="name" localSheetId="8">FM1_Mother!$I$3</definedName>
    <definedName name="name" localSheetId="9">'FM3_Child A'!$I$3</definedName>
    <definedName name="name">Costs_master!$I$3</definedName>
    <definedName name="numfams_supported">'Delivery Cost'!$I$4</definedName>
    <definedName name="numyears">'Caseload Chart'!$S$33</definedName>
    <definedName name="org_savings">Start!$N$31</definedName>
    <definedName name="organisation">Start!$K$31:$K$40</definedName>
    <definedName name="parentchild">Start!$Y$1:$Y$4</definedName>
    <definedName name="parenting_programmes" localSheetId="8">FM1_Mother!$H$90</definedName>
    <definedName name="parenting_programmes" localSheetId="9">'FM3_Child A'!$H$90</definedName>
    <definedName name="parenting_programmes">Costs_master!$H$90</definedName>
    <definedName name="perc_risk" localSheetId="8">FM1_Mother!$H$7</definedName>
    <definedName name="perc_risk" localSheetId="9">'FM3_Child A'!$H$7</definedName>
    <definedName name="perc_risk">Costs_master!$H$7</definedName>
    <definedName name="postcost">'Fam Chart'!$C$67</definedName>
    <definedName name="posttotalcost" localSheetId="8">FM1_Mother!$P$107</definedName>
    <definedName name="posttotalcost" localSheetId="9">'FM3_Child A'!$P$107</definedName>
    <definedName name="posttotalcost">Costs_master!$P$107</definedName>
    <definedName name="precost">'Fam Chart'!$C$65</definedName>
    <definedName name="pretotalcost" localSheetId="8">FM1_Mother!$O$107</definedName>
    <definedName name="pretotalcost" localSheetId="9">'FM3_Child A'!$O$107</definedName>
    <definedName name="pretotalcost">Costs_master!$O$107</definedName>
    <definedName name="_xlnm.Print_Area" localSheetId="5">'Fam Chart'!$B$63:$Q$87</definedName>
    <definedName name="_xlnm.Print_Area" localSheetId="0">Start!$A$1:$Y$41</definedName>
    <definedName name="socialcare" localSheetId="8">FM1_Mother!$I$80:$I$94</definedName>
    <definedName name="socialcare" localSheetId="9">'FM3_Child A'!$I$80:$I$94</definedName>
    <definedName name="socialcare">Costs_master!$I$80:$I$94</definedName>
    <definedName name="socialcarep" localSheetId="8">FM1_Mother!$L$80:$L$94</definedName>
    <definedName name="socialcarep" localSheetId="9">'FM3_Child A'!$L$80:$L$94</definedName>
    <definedName name="socialcarep">Costs_master!$L$80:$L$94</definedName>
    <definedName name="startyear">'Caseload Chart'!$S$32</definedName>
    <definedName name="sumcrimeasb" localSheetId="8">FM1_Mother!$I$26</definedName>
    <definedName name="sumcrimeasb" localSheetId="9">'FM3_Child A'!$I$26</definedName>
    <definedName name="sumcrimeasb">Costs_master!$I$26</definedName>
    <definedName name="sumcrimeasb_actual" localSheetId="8">FM1_Mother!$M$26</definedName>
    <definedName name="sumcrimeasb_actual" localSheetId="9">'FM3_Child A'!$M$26</definedName>
    <definedName name="sumcrimeasb_actual">Costs_master!$M$26</definedName>
    <definedName name="sumdrugs" localSheetId="8">FM1_Mother!$I$78</definedName>
    <definedName name="sumdrugs" localSheetId="9">'FM3_Child A'!$I$78</definedName>
    <definedName name="sumdrugs">Costs_master!$I$78</definedName>
    <definedName name="sumdrugs_actual" localSheetId="8">FM1_Mother!$M$78</definedName>
    <definedName name="sumdrugs_actual" localSheetId="9">'FM3_Child A'!$M$78</definedName>
    <definedName name="sumdrugs_actual">Costs_master!$M$78</definedName>
    <definedName name="sumdv" localSheetId="8">FM1_Mother!#REF!</definedName>
    <definedName name="sumdv" localSheetId="9">'FM3_Child A'!#REF!</definedName>
    <definedName name="sumdv">Costs_master!#REF!</definedName>
    <definedName name="sumdv_actual" localSheetId="8">FM1_Mother!#REF!</definedName>
    <definedName name="sumdv_actual" localSheetId="9">'FM3_Child A'!#REF!</definedName>
    <definedName name="sumdv_actual">Costs_master!#REF!</definedName>
    <definedName name="sumeducation" localSheetId="8">FM1_Mother!$I$36</definedName>
    <definedName name="sumeducation" localSheetId="9">'FM3_Child A'!$I$36</definedName>
    <definedName name="sumeducation">Costs_master!$I$36</definedName>
    <definedName name="sumeducation_actual" localSheetId="8">FM1_Mother!$M$36</definedName>
    <definedName name="sumeducation_actual" localSheetId="9">'FM3_Child A'!$M$36</definedName>
    <definedName name="sumeducation_actual">Costs_master!$M$36</definedName>
    <definedName name="sumextralines" localSheetId="8">FM1_Mother!$I$107</definedName>
    <definedName name="sumextralines" localSheetId="9">'FM3_Child A'!$I$107</definedName>
    <definedName name="sumextralines">Costs_master!$I$107</definedName>
    <definedName name="sumextralines_actual" localSheetId="8">FM1_Mother!$M$107</definedName>
    <definedName name="sumextralines_actual" localSheetId="9">'FM3_Child A'!$M$107</definedName>
    <definedName name="sumextralines_actual">Costs_master!$M$107</definedName>
    <definedName name="sumhealthcare" localSheetId="8">FM1_Mother!$I$71</definedName>
    <definedName name="sumhealthcare" localSheetId="9">'FM3_Child A'!$I$71</definedName>
    <definedName name="sumhealthcare">Costs_master!$I$71</definedName>
    <definedName name="sumhealthcare_actual" localSheetId="8">FM1_Mother!$M$71</definedName>
    <definedName name="sumhealthcare_actual" localSheetId="9">'FM3_Child A'!$M$71</definedName>
    <definedName name="sumhealthcare_actual">Costs_master!$M$71</definedName>
    <definedName name="sumhousing" localSheetId="8">FM1_Mother!$I$51</definedName>
    <definedName name="sumhousing" localSheetId="9">'FM3_Child A'!$I$51</definedName>
    <definedName name="sumhousing">Costs_master!$I$51</definedName>
    <definedName name="sumhousing_actual" localSheetId="8">FM1_Mother!$M$51</definedName>
    <definedName name="sumhousing_actual" localSheetId="9">'FM3_Child A'!$M$51</definedName>
    <definedName name="sumhousing_actual">Costs_master!$M$51</definedName>
    <definedName name="sumsocialcare" localSheetId="8">FM1_Mother!$I$95</definedName>
    <definedName name="sumsocialcare" localSheetId="9">'FM3_Child A'!$I$95</definedName>
    <definedName name="sumsocialcare">Costs_master!$I$95</definedName>
    <definedName name="sumsocialcare_actual" localSheetId="8">FM1_Mother!$M$95</definedName>
    <definedName name="sumsocialcare_actual" localSheetId="9">'FM3_Child A'!$M$95</definedName>
    <definedName name="sumsocialcare_actual">Costs_master!$M$95</definedName>
    <definedName name="totalcases">Start!$V$12</definedName>
    <definedName name="totalchildren">Start!$V$11</definedName>
    <definedName name="totalindividuals">Start!$V$9</definedName>
    <definedName name="totalparents">Start!$V$10</definedName>
    <definedName name="totalsaving">Start!$N$9</definedName>
    <definedName name="units" localSheetId="8">FM1_Mother!$I$7</definedName>
    <definedName name="units" localSheetId="9">'FM3_Child A'!$I$7</definedName>
    <definedName name="units">Costs_master!$I$7</definedName>
    <definedName name="version">Start!$N$2</definedName>
    <definedName name="yearsprojection">'Caseload Chart'!$U$37:$AB$37</definedName>
  </definedNames>
  <calcPr calcId="171027"/>
  <pivotCaches>
    <pivotCache cacheId="0" r:id="rId12"/>
    <pivotCache cacheId="1" r:id="rId13"/>
  </pivotCaches>
</workbook>
</file>

<file path=xl/calcChain.xml><?xml version="1.0" encoding="utf-8"?>
<calcChain xmlns="http://schemas.openxmlformats.org/spreadsheetml/2006/main">
  <c r="K1" i="18" l="1"/>
  <c r="J7" i="18"/>
  <c r="J8" i="18"/>
  <c r="J9" i="18"/>
  <c r="J10" i="18"/>
  <c r="J11" i="18"/>
  <c r="J12" i="18"/>
  <c r="J13" i="18"/>
  <c r="J14" i="18"/>
  <c r="J15" i="18"/>
  <c r="J16" i="18"/>
  <c r="J17" i="18"/>
  <c r="J18" i="18"/>
  <c r="J19" i="18"/>
  <c r="J20" i="18"/>
  <c r="J21" i="18"/>
  <c r="J22" i="18"/>
  <c r="J23" i="18"/>
  <c r="J24" i="18"/>
  <c r="J25" i="18"/>
  <c r="Q106" i="18"/>
  <c r="Q105" i="18"/>
  <c r="Q104" i="18"/>
  <c r="Q103" i="18"/>
  <c r="Q102" i="18"/>
  <c r="Q101" i="18"/>
  <c r="Q100" i="18"/>
  <c r="Q99" i="18"/>
  <c r="Q98" i="18"/>
  <c r="Q97" i="18"/>
  <c r="J28" i="18"/>
  <c r="J29" i="18"/>
  <c r="J30" i="18"/>
  <c r="J31" i="18"/>
  <c r="J32" i="18"/>
  <c r="J33" i="18"/>
  <c r="J34" i="18"/>
  <c r="J35" i="18"/>
  <c r="J53" i="18"/>
  <c r="J54" i="18"/>
  <c r="J55" i="18"/>
  <c r="J56" i="18"/>
  <c r="J57" i="18"/>
  <c r="J58" i="18"/>
  <c r="J59" i="18"/>
  <c r="J60" i="18"/>
  <c r="J61" i="18"/>
  <c r="J62" i="18"/>
  <c r="J63" i="18"/>
  <c r="J64" i="18"/>
  <c r="J65" i="18"/>
  <c r="J66" i="18"/>
  <c r="J67" i="18"/>
  <c r="J68" i="18"/>
  <c r="J69" i="18"/>
  <c r="J70" i="18"/>
  <c r="J38" i="18"/>
  <c r="J39" i="18"/>
  <c r="J40" i="18"/>
  <c r="J41" i="18"/>
  <c r="J42" i="18"/>
  <c r="J43" i="18"/>
  <c r="J44" i="18"/>
  <c r="J45" i="18"/>
  <c r="J46" i="18"/>
  <c r="J47" i="18"/>
  <c r="J48" i="18"/>
  <c r="J49" i="18"/>
  <c r="J73" i="18"/>
  <c r="J74" i="18"/>
  <c r="J75" i="18"/>
  <c r="J76" i="18"/>
  <c r="J77" i="18"/>
  <c r="J80" i="18"/>
  <c r="G81" i="18"/>
  <c r="J81" i="18"/>
  <c r="J82" i="18"/>
  <c r="J83" i="18"/>
  <c r="J84" i="18"/>
  <c r="J85" i="18"/>
  <c r="J86" i="18"/>
  <c r="J87" i="18"/>
  <c r="J88" i="18"/>
  <c r="G89" i="18"/>
  <c r="J89" i="18"/>
  <c r="J91" i="18"/>
  <c r="J92" i="18"/>
  <c r="J93" i="18"/>
  <c r="J94" i="18"/>
  <c r="J97" i="18"/>
  <c r="J98" i="18"/>
  <c r="J99" i="18"/>
  <c r="J100" i="18"/>
  <c r="J101" i="18"/>
  <c r="J102" i="18"/>
  <c r="J103" i="18"/>
  <c r="J104" i="18"/>
  <c r="J105" i="18"/>
  <c r="J106" i="18"/>
  <c r="D7" i="18"/>
  <c r="G7" i="18"/>
  <c r="M7" i="18"/>
  <c r="D8" i="18"/>
  <c r="G8" i="18"/>
  <c r="M8" i="18"/>
  <c r="D9" i="18"/>
  <c r="O9" i="18" s="1"/>
  <c r="G9" i="18"/>
  <c r="M9" i="18"/>
  <c r="G10" i="18"/>
  <c r="M10" i="18"/>
  <c r="O10" i="18"/>
  <c r="P10" i="18"/>
  <c r="D11" i="18"/>
  <c r="G11" i="18"/>
  <c r="M11" i="18"/>
  <c r="D12" i="18"/>
  <c r="P12" i="18" s="1"/>
  <c r="G12" i="18"/>
  <c r="M12" i="18"/>
  <c r="D13" i="18"/>
  <c r="O13" i="18" s="1"/>
  <c r="G13" i="18"/>
  <c r="M13" i="18"/>
  <c r="D14" i="18"/>
  <c r="G14" i="18"/>
  <c r="M14" i="18"/>
  <c r="O14" i="18"/>
  <c r="P14" i="18"/>
  <c r="D15" i="18"/>
  <c r="O15" i="18" s="1"/>
  <c r="G15" i="18"/>
  <c r="M15" i="18"/>
  <c r="D16" i="18"/>
  <c r="G16" i="18"/>
  <c r="M16" i="18"/>
  <c r="D17" i="18"/>
  <c r="O17" i="18" s="1"/>
  <c r="G17" i="18"/>
  <c r="M17" i="18"/>
  <c r="D18" i="18"/>
  <c r="O18" i="18" s="1"/>
  <c r="G18" i="18"/>
  <c r="M18" i="18"/>
  <c r="P18" i="18"/>
  <c r="D19" i="18"/>
  <c r="G19" i="18"/>
  <c r="M19" i="18"/>
  <c r="D20" i="18"/>
  <c r="P20" i="18" s="1"/>
  <c r="G20" i="18"/>
  <c r="M20" i="18"/>
  <c r="D21" i="18"/>
  <c r="O21" i="18" s="1"/>
  <c r="G21" i="18"/>
  <c r="M21" i="18"/>
  <c r="D22" i="18"/>
  <c r="O22" i="18" s="1"/>
  <c r="G22" i="18"/>
  <c r="M22" i="18"/>
  <c r="P22" i="18"/>
  <c r="D23" i="18"/>
  <c r="O23" i="18" s="1"/>
  <c r="G23" i="18"/>
  <c r="M23" i="18"/>
  <c r="P23" i="18"/>
  <c r="D24" i="18"/>
  <c r="G24" i="18"/>
  <c r="M24" i="18"/>
  <c r="D25" i="18"/>
  <c r="G25" i="18"/>
  <c r="M25" i="18"/>
  <c r="J27" i="18"/>
  <c r="G28" i="18"/>
  <c r="M28" i="18"/>
  <c r="O28" i="18"/>
  <c r="P28" i="18"/>
  <c r="G29" i="18"/>
  <c r="M29" i="18"/>
  <c r="O29" i="18"/>
  <c r="P29" i="18"/>
  <c r="G30" i="18"/>
  <c r="M30" i="18"/>
  <c r="O30" i="18"/>
  <c r="P30" i="18"/>
  <c r="G31" i="18"/>
  <c r="M31" i="18"/>
  <c r="O31" i="18"/>
  <c r="P31" i="18"/>
  <c r="G32" i="18"/>
  <c r="M32" i="18"/>
  <c r="O32" i="18"/>
  <c r="P32" i="18"/>
  <c r="G33" i="18"/>
  <c r="M33" i="18"/>
  <c r="O33" i="18"/>
  <c r="P33" i="18"/>
  <c r="G34" i="18"/>
  <c r="M34" i="18"/>
  <c r="O34" i="18"/>
  <c r="P34" i="18"/>
  <c r="G35" i="18"/>
  <c r="M35" i="18"/>
  <c r="D38" i="18"/>
  <c r="O38" i="18" s="1"/>
  <c r="G38" i="18"/>
  <c r="M38" i="18"/>
  <c r="D39" i="18"/>
  <c r="G39" i="18"/>
  <c r="M39" i="18"/>
  <c r="D40" i="18"/>
  <c r="O40" i="18" s="1"/>
  <c r="G40" i="18"/>
  <c r="M40" i="18"/>
  <c r="P40" i="18"/>
  <c r="D41" i="18"/>
  <c r="G41" i="18"/>
  <c r="M41" i="18"/>
  <c r="O41" i="18"/>
  <c r="P41" i="18"/>
  <c r="D42" i="18"/>
  <c r="O42" i="18" s="1"/>
  <c r="G42" i="18"/>
  <c r="M42" i="18"/>
  <c r="D43" i="18"/>
  <c r="G43" i="18"/>
  <c r="M43" i="18"/>
  <c r="D44" i="18"/>
  <c r="O44" i="18" s="1"/>
  <c r="G44" i="18"/>
  <c r="M44" i="18"/>
  <c r="D45" i="18"/>
  <c r="O45" i="18" s="1"/>
  <c r="G45" i="18"/>
  <c r="M45" i="18"/>
  <c r="P45" i="18"/>
  <c r="D46" i="18"/>
  <c r="O46" i="18" s="1"/>
  <c r="G46" i="18"/>
  <c r="M46" i="18"/>
  <c r="D47" i="18"/>
  <c r="O47" i="18" s="1"/>
  <c r="G47" i="18"/>
  <c r="M47" i="18"/>
  <c r="D48" i="18"/>
  <c r="O48" i="18" s="1"/>
  <c r="G48" i="18"/>
  <c r="M48" i="18"/>
  <c r="P48" i="18"/>
  <c r="D49" i="18"/>
  <c r="G49" i="18"/>
  <c r="M49" i="18"/>
  <c r="O49" i="18"/>
  <c r="P49" i="18"/>
  <c r="D50" i="18"/>
  <c r="P50" i="18" s="1"/>
  <c r="G50" i="18"/>
  <c r="J50" i="18"/>
  <c r="M50" i="18"/>
  <c r="O50" i="18"/>
  <c r="G53" i="18"/>
  <c r="M53" i="18"/>
  <c r="O53" i="18"/>
  <c r="P53" i="18"/>
  <c r="G54" i="18"/>
  <c r="M54" i="18"/>
  <c r="O54" i="18"/>
  <c r="P54" i="18"/>
  <c r="G55" i="18"/>
  <c r="M55" i="18"/>
  <c r="O55" i="18"/>
  <c r="P55" i="18"/>
  <c r="G56" i="18"/>
  <c r="M56" i="18"/>
  <c r="O56" i="18"/>
  <c r="P56" i="18"/>
  <c r="G57" i="18"/>
  <c r="M57" i="18"/>
  <c r="O57" i="18"/>
  <c r="P57" i="18"/>
  <c r="G58" i="18"/>
  <c r="M58" i="18"/>
  <c r="O58" i="18"/>
  <c r="P58" i="18"/>
  <c r="G59" i="18"/>
  <c r="M59" i="18"/>
  <c r="O59" i="18"/>
  <c r="P59" i="18"/>
  <c r="G60" i="18"/>
  <c r="M60" i="18"/>
  <c r="O60" i="18"/>
  <c r="P60" i="18"/>
  <c r="G61" i="18"/>
  <c r="M61" i="18"/>
  <c r="O61" i="18"/>
  <c r="P61" i="18"/>
  <c r="G62" i="18"/>
  <c r="M62" i="18"/>
  <c r="O62" i="18"/>
  <c r="P62" i="18"/>
  <c r="G63" i="18"/>
  <c r="M63" i="18"/>
  <c r="O63" i="18"/>
  <c r="P63" i="18"/>
  <c r="G64" i="18"/>
  <c r="M64" i="18"/>
  <c r="O64" i="18"/>
  <c r="P64" i="18"/>
  <c r="G65" i="18"/>
  <c r="M65" i="18"/>
  <c r="O65" i="18"/>
  <c r="P65" i="18"/>
  <c r="G66" i="18"/>
  <c r="M66" i="18"/>
  <c r="O66" i="18"/>
  <c r="P66" i="18"/>
  <c r="G67" i="18"/>
  <c r="M67" i="18"/>
  <c r="O67" i="18"/>
  <c r="P67" i="18"/>
  <c r="G68" i="18"/>
  <c r="M68" i="18"/>
  <c r="O68" i="18"/>
  <c r="P68" i="18"/>
  <c r="G69" i="18"/>
  <c r="M69" i="18"/>
  <c r="O69" i="18"/>
  <c r="P69" i="18"/>
  <c r="G70" i="18"/>
  <c r="M70" i="18"/>
  <c r="O70" i="18"/>
  <c r="P70" i="18"/>
  <c r="G73" i="18"/>
  <c r="M73" i="18"/>
  <c r="O73" i="18"/>
  <c r="P73" i="18"/>
  <c r="G74" i="18"/>
  <c r="M74" i="18"/>
  <c r="O74" i="18"/>
  <c r="P74" i="18"/>
  <c r="G75" i="18"/>
  <c r="M75" i="18"/>
  <c r="O75" i="18"/>
  <c r="P75" i="18"/>
  <c r="G76" i="18"/>
  <c r="M76" i="18"/>
  <c r="O76" i="18"/>
  <c r="P76" i="18"/>
  <c r="G77" i="18"/>
  <c r="M77" i="18"/>
  <c r="O77" i="18"/>
  <c r="P77" i="18"/>
  <c r="G80" i="18"/>
  <c r="M80" i="18"/>
  <c r="O80" i="18"/>
  <c r="P80" i="18"/>
  <c r="M81" i="18"/>
  <c r="O81" i="18"/>
  <c r="P81" i="18"/>
  <c r="G82" i="18"/>
  <c r="M82" i="18"/>
  <c r="O82" i="18"/>
  <c r="P82" i="18"/>
  <c r="G83" i="18"/>
  <c r="M83" i="18"/>
  <c r="O83" i="18"/>
  <c r="P83" i="18"/>
  <c r="G84" i="18"/>
  <c r="M84" i="18"/>
  <c r="O84" i="18"/>
  <c r="P84" i="18"/>
  <c r="G85" i="18"/>
  <c r="M85" i="18"/>
  <c r="O85" i="18"/>
  <c r="P85" i="18"/>
  <c r="G86" i="18"/>
  <c r="M86" i="18"/>
  <c r="O86" i="18"/>
  <c r="P86" i="18"/>
  <c r="G87" i="18"/>
  <c r="M87" i="18"/>
  <c r="O87" i="18"/>
  <c r="P87" i="18"/>
  <c r="G88" i="18"/>
  <c r="M88" i="18"/>
  <c r="O88" i="18"/>
  <c r="P88" i="18"/>
  <c r="M89" i="18"/>
  <c r="O89" i="18"/>
  <c r="P89" i="18"/>
  <c r="M91" i="18"/>
  <c r="O91" i="18"/>
  <c r="P91" i="18"/>
  <c r="M92" i="18"/>
  <c r="O92" i="18"/>
  <c r="P92" i="18"/>
  <c r="M93" i="18"/>
  <c r="O93" i="18"/>
  <c r="P93" i="18"/>
  <c r="M94" i="18"/>
  <c r="O94" i="18"/>
  <c r="P94" i="18"/>
  <c r="D97" i="18"/>
  <c r="G97" i="18"/>
  <c r="M97" i="18"/>
  <c r="O97" i="18"/>
  <c r="P97" i="18"/>
  <c r="D98" i="18"/>
  <c r="G98" i="18"/>
  <c r="M98" i="18"/>
  <c r="O98" i="18"/>
  <c r="P98" i="18"/>
  <c r="D99" i="18"/>
  <c r="G99" i="18"/>
  <c r="M99" i="18"/>
  <c r="O99" i="18"/>
  <c r="P99" i="18"/>
  <c r="D100" i="18"/>
  <c r="G100" i="18"/>
  <c r="M100" i="18"/>
  <c r="O100" i="18"/>
  <c r="P100" i="18"/>
  <c r="D101" i="18"/>
  <c r="G101" i="18"/>
  <c r="M101" i="18"/>
  <c r="O101" i="18"/>
  <c r="P101" i="18"/>
  <c r="D102" i="18"/>
  <c r="G102" i="18"/>
  <c r="M102" i="18"/>
  <c r="O102" i="18"/>
  <c r="P102" i="18"/>
  <c r="D103" i="18"/>
  <c r="G103" i="18"/>
  <c r="M103" i="18"/>
  <c r="O103" i="18"/>
  <c r="P103" i="18"/>
  <c r="D104" i="18"/>
  <c r="G104" i="18"/>
  <c r="M104" i="18"/>
  <c r="O104" i="18"/>
  <c r="P104" i="18"/>
  <c r="D105" i="18"/>
  <c r="G105" i="18"/>
  <c r="M105" i="18"/>
  <c r="O105" i="18"/>
  <c r="P105" i="18"/>
  <c r="D106" i="18"/>
  <c r="G106" i="18"/>
  <c r="M106" i="18"/>
  <c r="O106" i="18"/>
  <c r="P106" i="18"/>
  <c r="K1" i="16"/>
  <c r="J7" i="16"/>
  <c r="J8" i="16"/>
  <c r="J9" i="16"/>
  <c r="G10" i="16"/>
  <c r="J10" i="16"/>
  <c r="J11" i="16"/>
  <c r="J12" i="16"/>
  <c r="J13" i="16"/>
  <c r="J14" i="16"/>
  <c r="J15" i="16"/>
  <c r="J16" i="16"/>
  <c r="J17" i="16"/>
  <c r="J18" i="16"/>
  <c r="J19" i="16"/>
  <c r="J20" i="16"/>
  <c r="J21" i="16"/>
  <c r="J22" i="16"/>
  <c r="J23" i="16"/>
  <c r="J24" i="16"/>
  <c r="J25" i="16"/>
  <c r="Q106" i="16"/>
  <c r="Q105" i="16"/>
  <c r="Q104" i="16"/>
  <c r="Q103" i="16"/>
  <c r="Q102" i="16"/>
  <c r="Q101" i="16"/>
  <c r="Q100" i="16"/>
  <c r="Q99" i="16"/>
  <c r="Q98" i="16"/>
  <c r="Q97" i="16"/>
  <c r="J28" i="16"/>
  <c r="J29" i="16"/>
  <c r="G30" i="16"/>
  <c r="J30" i="16"/>
  <c r="J31" i="16"/>
  <c r="J32" i="16"/>
  <c r="J33" i="16"/>
  <c r="J34" i="16"/>
  <c r="J35" i="16"/>
  <c r="J53" i="16"/>
  <c r="J54" i="16"/>
  <c r="G55" i="16"/>
  <c r="J55" i="16"/>
  <c r="G56" i="16"/>
  <c r="J56" i="16"/>
  <c r="J57" i="16"/>
  <c r="J58" i="16"/>
  <c r="G59" i="16"/>
  <c r="J59" i="16"/>
  <c r="J60" i="16"/>
  <c r="J61" i="16"/>
  <c r="J62" i="16"/>
  <c r="J63" i="16"/>
  <c r="J64" i="16"/>
  <c r="G65" i="16"/>
  <c r="J65" i="16"/>
  <c r="J66" i="16"/>
  <c r="G67" i="16"/>
  <c r="J67" i="16"/>
  <c r="J68" i="16"/>
  <c r="G69" i="16"/>
  <c r="J69" i="16"/>
  <c r="J70" i="16"/>
  <c r="J38" i="16"/>
  <c r="J39" i="16"/>
  <c r="J40" i="16"/>
  <c r="J41" i="16"/>
  <c r="J42" i="16"/>
  <c r="J43" i="16"/>
  <c r="J44" i="16"/>
  <c r="J45" i="16"/>
  <c r="J46" i="16"/>
  <c r="J47" i="16"/>
  <c r="J48" i="16"/>
  <c r="J49" i="16"/>
  <c r="J73" i="16"/>
  <c r="J74" i="16"/>
  <c r="G75" i="16"/>
  <c r="J75" i="16"/>
  <c r="G76" i="16"/>
  <c r="J76" i="16"/>
  <c r="J77" i="16"/>
  <c r="J80" i="16"/>
  <c r="J81" i="16"/>
  <c r="J82" i="16"/>
  <c r="J83" i="16"/>
  <c r="G84" i="16"/>
  <c r="J84" i="16"/>
  <c r="J85" i="16"/>
  <c r="J86" i="16"/>
  <c r="J87" i="16"/>
  <c r="J88" i="16"/>
  <c r="J89" i="16"/>
  <c r="J91" i="16"/>
  <c r="J92" i="16"/>
  <c r="J93" i="16"/>
  <c r="J94" i="16"/>
  <c r="J97" i="16"/>
  <c r="J98" i="16"/>
  <c r="J99" i="16"/>
  <c r="J100" i="16"/>
  <c r="J101" i="16"/>
  <c r="J102" i="16"/>
  <c r="J103" i="16"/>
  <c r="J104" i="16"/>
  <c r="J105" i="16"/>
  <c r="J106" i="16"/>
  <c r="M30" i="16"/>
  <c r="M50" i="16"/>
  <c r="M55" i="16"/>
  <c r="M56" i="16"/>
  <c r="M59" i="16"/>
  <c r="M65" i="16"/>
  <c r="M69" i="16"/>
  <c r="M67" i="16"/>
  <c r="M76" i="16"/>
  <c r="M75" i="16"/>
  <c r="M84" i="16"/>
  <c r="D7" i="16"/>
  <c r="O7" i="16" s="1"/>
  <c r="G7" i="16"/>
  <c r="M7" i="16"/>
  <c r="D8" i="16"/>
  <c r="O8" i="16" s="1"/>
  <c r="G8" i="16"/>
  <c r="M8" i="16"/>
  <c r="D9" i="16"/>
  <c r="O9" i="16" s="1"/>
  <c r="G9" i="16"/>
  <c r="M9" i="16"/>
  <c r="P9" i="16"/>
  <c r="M10" i="16"/>
  <c r="O10" i="16"/>
  <c r="P10" i="16"/>
  <c r="D11" i="16"/>
  <c r="G11" i="16"/>
  <c r="M11" i="16"/>
  <c r="D12" i="16"/>
  <c r="G12" i="16"/>
  <c r="M12" i="16"/>
  <c r="D13" i="16"/>
  <c r="O13" i="16" s="1"/>
  <c r="G13" i="16"/>
  <c r="M13" i="16"/>
  <c r="P13" i="16"/>
  <c r="D14" i="16"/>
  <c r="O14" i="16" s="1"/>
  <c r="G14" i="16"/>
  <c r="M14" i="16"/>
  <c r="P14" i="16"/>
  <c r="D15" i="16"/>
  <c r="G15" i="16"/>
  <c r="M15" i="16"/>
  <c r="D16" i="16"/>
  <c r="G16" i="16"/>
  <c r="M16" i="16"/>
  <c r="D17" i="16"/>
  <c r="O17" i="16" s="1"/>
  <c r="G17" i="16"/>
  <c r="M17" i="16"/>
  <c r="P17" i="16"/>
  <c r="D18" i="16"/>
  <c r="O18" i="16" s="1"/>
  <c r="G18" i="16"/>
  <c r="M18" i="16"/>
  <c r="P18" i="16"/>
  <c r="D19" i="16"/>
  <c r="G19" i="16"/>
  <c r="M19" i="16"/>
  <c r="D20" i="16"/>
  <c r="G20" i="16"/>
  <c r="M20" i="16"/>
  <c r="D21" i="16"/>
  <c r="O21" i="16" s="1"/>
  <c r="G21" i="16"/>
  <c r="M21" i="16"/>
  <c r="P21" i="16"/>
  <c r="D22" i="16"/>
  <c r="O22" i="16" s="1"/>
  <c r="G22" i="16"/>
  <c r="M22" i="16"/>
  <c r="P22" i="16"/>
  <c r="D23" i="16"/>
  <c r="G23" i="16"/>
  <c r="M23" i="16"/>
  <c r="D24" i="16"/>
  <c r="O24" i="16" s="1"/>
  <c r="G24" i="16"/>
  <c r="M24" i="16"/>
  <c r="D25" i="16"/>
  <c r="O25" i="16" s="1"/>
  <c r="G25" i="16"/>
  <c r="M25" i="16"/>
  <c r="P25" i="16"/>
  <c r="J27" i="16"/>
  <c r="G28" i="16"/>
  <c r="M28" i="16"/>
  <c r="O28" i="16"/>
  <c r="P28" i="16"/>
  <c r="G29" i="16"/>
  <c r="M29" i="16"/>
  <c r="O29" i="16"/>
  <c r="P29" i="16"/>
  <c r="O30" i="16"/>
  <c r="P30" i="16"/>
  <c r="G31" i="16"/>
  <c r="M31" i="16"/>
  <c r="O31" i="16"/>
  <c r="P31" i="16"/>
  <c r="G32" i="16"/>
  <c r="M32" i="16"/>
  <c r="O32" i="16"/>
  <c r="P32" i="16"/>
  <c r="G33" i="16"/>
  <c r="M33" i="16"/>
  <c r="O33" i="16"/>
  <c r="P33" i="16"/>
  <c r="G34" i="16"/>
  <c r="M34" i="16"/>
  <c r="O34" i="16"/>
  <c r="P34" i="16"/>
  <c r="G35" i="16"/>
  <c r="M35" i="16"/>
  <c r="D38" i="16"/>
  <c r="O38" i="16"/>
  <c r="G38" i="16"/>
  <c r="M38" i="16"/>
  <c r="P38" i="16"/>
  <c r="D39" i="16"/>
  <c r="G39" i="16"/>
  <c r="M39" i="16"/>
  <c r="D40" i="16"/>
  <c r="O40" i="16" s="1"/>
  <c r="G40" i="16"/>
  <c r="M40" i="16"/>
  <c r="P40" i="16"/>
  <c r="D41" i="16"/>
  <c r="O41" i="16" s="1"/>
  <c r="G41" i="16"/>
  <c r="M41" i="16"/>
  <c r="P41" i="16"/>
  <c r="D42" i="16"/>
  <c r="O42" i="16" s="1"/>
  <c r="G42" i="16"/>
  <c r="M42" i="16"/>
  <c r="P42" i="16"/>
  <c r="D43" i="16"/>
  <c r="O43" i="16" s="1"/>
  <c r="G43" i="16"/>
  <c r="M43" i="16"/>
  <c r="P43" i="16"/>
  <c r="D44" i="16"/>
  <c r="G44" i="16"/>
  <c r="M44" i="16"/>
  <c r="O44" i="16"/>
  <c r="P44" i="16"/>
  <c r="D45" i="16"/>
  <c r="G45" i="16"/>
  <c r="M45" i="16"/>
  <c r="D46" i="16"/>
  <c r="O46" i="16" s="1"/>
  <c r="G46" i="16"/>
  <c r="M46" i="16"/>
  <c r="P46" i="16"/>
  <c r="D47" i="16"/>
  <c r="G47" i="16"/>
  <c r="M47" i="16"/>
  <c r="O47" i="16"/>
  <c r="P47" i="16"/>
  <c r="D48" i="16"/>
  <c r="O48" i="16" s="1"/>
  <c r="G48" i="16"/>
  <c r="M48" i="16"/>
  <c r="D49" i="16"/>
  <c r="O49" i="16" s="1"/>
  <c r="G49" i="16"/>
  <c r="M49" i="16"/>
  <c r="D50" i="16"/>
  <c r="O50" i="16" s="1"/>
  <c r="G50" i="16"/>
  <c r="G53" i="16"/>
  <c r="M53" i="16"/>
  <c r="O53" i="16"/>
  <c r="P53" i="16"/>
  <c r="G54" i="16"/>
  <c r="M54" i="16"/>
  <c r="O54" i="16"/>
  <c r="P54" i="16"/>
  <c r="O55" i="16"/>
  <c r="P55" i="16"/>
  <c r="O56" i="16"/>
  <c r="P56" i="16"/>
  <c r="G57" i="16"/>
  <c r="M57" i="16"/>
  <c r="O57" i="16"/>
  <c r="P57" i="16"/>
  <c r="G58" i="16"/>
  <c r="M58" i="16"/>
  <c r="O58" i="16"/>
  <c r="P58" i="16"/>
  <c r="O59" i="16"/>
  <c r="P59" i="16"/>
  <c r="G60" i="16"/>
  <c r="M60" i="16"/>
  <c r="O60" i="16"/>
  <c r="P60" i="16"/>
  <c r="G61" i="16"/>
  <c r="M61" i="16"/>
  <c r="O61" i="16"/>
  <c r="P61" i="16"/>
  <c r="G62" i="16"/>
  <c r="M62" i="16"/>
  <c r="O62" i="16"/>
  <c r="P62" i="16"/>
  <c r="G63" i="16"/>
  <c r="M63" i="16"/>
  <c r="O63" i="16"/>
  <c r="P63" i="16"/>
  <c r="G64" i="16"/>
  <c r="M64" i="16"/>
  <c r="O64" i="16"/>
  <c r="P64" i="16"/>
  <c r="O65" i="16"/>
  <c r="P65" i="16"/>
  <c r="G66" i="16"/>
  <c r="M66" i="16"/>
  <c r="O66" i="16"/>
  <c r="P66" i="16"/>
  <c r="O67" i="16"/>
  <c r="P67" i="16"/>
  <c r="G68" i="16"/>
  <c r="M68" i="16"/>
  <c r="O68" i="16"/>
  <c r="P68" i="16"/>
  <c r="O69" i="16"/>
  <c r="P69" i="16"/>
  <c r="G70" i="16"/>
  <c r="M70" i="16"/>
  <c r="O70" i="16"/>
  <c r="P70" i="16"/>
  <c r="G73" i="16"/>
  <c r="M73" i="16"/>
  <c r="O73" i="16"/>
  <c r="P73" i="16"/>
  <c r="G74" i="16"/>
  <c r="M74" i="16"/>
  <c r="O74" i="16"/>
  <c r="P74" i="16"/>
  <c r="O75" i="16"/>
  <c r="P75" i="16"/>
  <c r="O76" i="16"/>
  <c r="P76" i="16"/>
  <c r="G77" i="16"/>
  <c r="M77" i="16"/>
  <c r="O77" i="16"/>
  <c r="P77" i="16"/>
  <c r="G80" i="16"/>
  <c r="M80" i="16"/>
  <c r="O80" i="16"/>
  <c r="P80" i="16"/>
  <c r="G81" i="16"/>
  <c r="M81" i="16"/>
  <c r="O81" i="16"/>
  <c r="P81" i="16"/>
  <c r="G82" i="16"/>
  <c r="M82" i="16"/>
  <c r="O82" i="16"/>
  <c r="P82" i="16"/>
  <c r="G83" i="16"/>
  <c r="M83" i="16"/>
  <c r="O83" i="16"/>
  <c r="P83" i="16"/>
  <c r="O84" i="16"/>
  <c r="P84" i="16"/>
  <c r="G85" i="16"/>
  <c r="M85" i="16"/>
  <c r="O85" i="16"/>
  <c r="P85" i="16"/>
  <c r="G86" i="16"/>
  <c r="M86" i="16"/>
  <c r="O86" i="16"/>
  <c r="P86" i="16"/>
  <c r="G87" i="16"/>
  <c r="M87" i="16"/>
  <c r="O87" i="16"/>
  <c r="P87" i="16"/>
  <c r="G88" i="16"/>
  <c r="M88" i="16"/>
  <c r="O88" i="16"/>
  <c r="P88" i="16"/>
  <c r="G89" i="16"/>
  <c r="M89" i="16"/>
  <c r="O89" i="16"/>
  <c r="P89" i="16"/>
  <c r="M91" i="16"/>
  <c r="O91" i="16"/>
  <c r="P91" i="16"/>
  <c r="M92" i="16"/>
  <c r="O92" i="16"/>
  <c r="P92" i="16"/>
  <c r="M93" i="16"/>
  <c r="O93" i="16"/>
  <c r="P93" i="16"/>
  <c r="M94" i="16"/>
  <c r="O94" i="16"/>
  <c r="P94" i="16"/>
  <c r="D97" i="16"/>
  <c r="G97" i="16"/>
  <c r="M97" i="16"/>
  <c r="O97" i="16"/>
  <c r="P97" i="16"/>
  <c r="D98" i="16"/>
  <c r="G98" i="16"/>
  <c r="M98" i="16"/>
  <c r="O98" i="16"/>
  <c r="P98" i="16"/>
  <c r="D99" i="16"/>
  <c r="G99" i="16"/>
  <c r="M99" i="16"/>
  <c r="O99" i="16"/>
  <c r="P99" i="16"/>
  <c r="D100" i="16"/>
  <c r="G100" i="16"/>
  <c r="M100" i="16"/>
  <c r="O100" i="16"/>
  <c r="P100" i="16"/>
  <c r="D101" i="16"/>
  <c r="G101" i="16"/>
  <c r="M101" i="16"/>
  <c r="O101" i="16"/>
  <c r="P101" i="16"/>
  <c r="D102" i="16"/>
  <c r="G102" i="16"/>
  <c r="M102" i="16"/>
  <c r="O102" i="16"/>
  <c r="P102" i="16"/>
  <c r="D103" i="16"/>
  <c r="G103" i="16"/>
  <c r="M103" i="16"/>
  <c r="O103" i="16"/>
  <c r="P103" i="16"/>
  <c r="D104" i="16"/>
  <c r="G104" i="16"/>
  <c r="M104" i="16"/>
  <c r="O104" i="16"/>
  <c r="P104" i="16"/>
  <c r="D105" i="16"/>
  <c r="G105" i="16"/>
  <c r="M105" i="16"/>
  <c r="O105" i="16"/>
  <c r="P105" i="16"/>
  <c r="D106" i="16"/>
  <c r="G106" i="16"/>
  <c r="M106" i="16"/>
  <c r="O106" i="16"/>
  <c r="P106" i="16"/>
  <c r="D9" i="14"/>
  <c r="D18" i="14"/>
  <c r="D31" i="14"/>
  <c r="Q106" i="1"/>
  <c r="Q105" i="1"/>
  <c r="Q104" i="1"/>
  <c r="Q103" i="1"/>
  <c r="Q102" i="1"/>
  <c r="Q101" i="1"/>
  <c r="Q100" i="1"/>
  <c r="Q99" i="1"/>
  <c r="Q98" i="1"/>
  <c r="Q97" i="1"/>
  <c r="J97" i="1"/>
  <c r="J98" i="1"/>
  <c r="J99" i="1"/>
  <c r="J100" i="1"/>
  <c r="J101" i="1"/>
  <c r="J102" i="1"/>
  <c r="J103" i="1"/>
  <c r="J104" i="1"/>
  <c r="J105" i="1"/>
  <c r="J106" i="1"/>
  <c r="O10" i="1"/>
  <c r="O16" i="1"/>
  <c r="O28" i="1"/>
  <c r="O29" i="1"/>
  <c r="O30" i="1"/>
  <c r="O31" i="1"/>
  <c r="O32" i="1"/>
  <c r="O33" i="1"/>
  <c r="O34" i="1"/>
  <c r="O53" i="1"/>
  <c r="O54" i="1"/>
  <c r="O55" i="1"/>
  <c r="O56" i="1"/>
  <c r="O57" i="1"/>
  <c r="O58" i="1"/>
  <c r="O59" i="1"/>
  <c r="O60" i="1"/>
  <c r="O61" i="1"/>
  <c r="O62" i="1"/>
  <c r="O63" i="1"/>
  <c r="O64" i="1"/>
  <c r="O65" i="1"/>
  <c r="O66" i="1"/>
  <c r="O67" i="1"/>
  <c r="O68" i="1"/>
  <c r="O69" i="1"/>
  <c r="O70" i="1"/>
  <c r="O73" i="1"/>
  <c r="O74" i="1"/>
  <c r="O75" i="1"/>
  <c r="O76" i="1"/>
  <c r="O77" i="1"/>
  <c r="O80" i="1"/>
  <c r="O81" i="1"/>
  <c r="O82" i="1"/>
  <c r="O83" i="1"/>
  <c r="O84" i="1"/>
  <c r="O85" i="1"/>
  <c r="O86" i="1"/>
  <c r="O87" i="1"/>
  <c r="O88" i="1"/>
  <c r="O89" i="1"/>
  <c r="O91" i="1"/>
  <c r="O92" i="1"/>
  <c r="O93" i="1"/>
  <c r="O94" i="1"/>
  <c r="O97" i="1"/>
  <c r="O98" i="1"/>
  <c r="O99" i="1"/>
  <c r="O100" i="1"/>
  <c r="O101" i="1"/>
  <c r="O102" i="1"/>
  <c r="O103" i="1"/>
  <c r="O104" i="1"/>
  <c r="O105" i="1"/>
  <c r="O106" i="1"/>
  <c r="P89" i="1"/>
  <c r="P88" i="1"/>
  <c r="P87" i="1"/>
  <c r="J92" i="1"/>
  <c r="J93" i="1"/>
  <c r="J94" i="1"/>
  <c r="J91" i="1"/>
  <c r="J89" i="1"/>
  <c r="J88" i="1"/>
  <c r="J87" i="1"/>
  <c r="J86" i="1"/>
  <c r="J85" i="1"/>
  <c r="J84" i="1"/>
  <c r="J83" i="1"/>
  <c r="J82" i="1"/>
  <c r="J81" i="1"/>
  <c r="J80" i="1"/>
  <c r="J77" i="1"/>
  <c r="J76" i="1"/>
  <c r="J75" i="1"/>
  <c r="J74" i="1"/>
  <c r="J73" i="1"/>
  <c r="J70" i="1"/>
  <c r="J69" i="1"/>
  <c r="J68" i="1"/>
  <c r="J67" i="1"/>
  <c r="J66" i="1"/>
  <c r="J65" i="1"/>
  <c r="J64" i="1"/>
  <c r="J63" i="1"/>
  <c r="J62" i="1"/>
  <c r="J61" i="1"/>
  <c r="J60" i="1"/>
  <c r="J59" i="1"/>
  <c r="J58" i="1"/>
  <c r="J57" i="1"/>
  <c r="J56" i="1"/>
  <c r="J55" i="1"/>
  <c r="J54" i="1"/>
  <c r="J53" i="1"/>
  <c r="J50" i="1"/>
  <c r="J49" i="1"/>
  <c r="J48" i="1"/>
  <c r="J47" i="1"/>
  <c r="J46" i="1"/>
  <c r="J45" i="1"/>
  <c r="J44" i="1"/>
  <c r="J43" i="1"/>
  <c r="J42" i="1"/>
  <c r="J41" i="1"/>
  <c r="J40" i="1"/>
  <c r="J39" i="1"/>
  <c r="J38" i="1"/>
  <c r="J35" i="1"/>
  <c r="J34" i="1"/>
  <c r="J33" i="1"/>
  <c r="J32" i="1"/>
  <c r="J31" i="1"/>
  <c r="J30" i="1"/>
  <c r="J29" i="1"/>
  <c r="J28" i="1"/>
  <c r="J24" i="1"/>
  <c r="J23" i="1"/>
  <c r="J22" i="1"/>
  <c r="J21" i="1"/>
  <c r="J20" i="1"/>
  <c r="J19" i="1"/>
  <c r="J18" i="1"/>
  <c r="J17" i="1"/>
  <c r="J16" i="1"/>
  <c r="J15" i="1"/>
  <c r="J14" i="1"/>
  <c r="J13" i="1"/>
  <c r="J12" i="1"/>
  <c r="J11" i="1"/>
  <c r="J10" i="1"/>
  <c r="J9" i="1"/>
  <c r="J8" i="1"/>
  <c r="J7" i="1"/>
  <c r="M89" i="1"/>
  <c r="M88" i="1"/>
  <c r="M87" i="1"/>
  <c r="K1" i="1"/>
  <c r="M7" i="1"/>
  <c r="M8" i="1"/>
  <c r="M9" i="1"/>
  <c r="M10" i="1"/>
  <c r="M11" i="1"/>
  <c r="M12" i="1"/>
  <c r="M13" i="1"/>
  <c r="M14" i="1"/>
  <c r="M15" i="1"/>
  <c r="M16" i="1"/>
  <c r="M17" i="1"/>
  <c r="M18" i="1"/>
  <c r="M19" i="1"/>
  <c r="M20" i="1"/>
  <c r="M21" i="1"/>
  <c r="M22" i="1"/>
  <c r="M23" i="1"/>
  <c r="M24" i="1"/>
  <c r="M25" i="1"/>
  <c r="M28" i="1"/>
  <c r="M29" i="1"/>
  <c r="M30" i="1"/>
  <c r="M31" i="1"/>
  <c r="M32" i="1"/>
  <c r="M33" i="1"/>
  <c r="M34" i="1"/>
  <c r="M35" i="1"/>
  <c r="M53" i="1"/>
  <c r="M54" i="1"/>
  <c r="M55" i="1"/>
  <c r="M56" i="1"/>
  <c r="M57" i="1"/>
  <c r="M58" i="1"/>
  <c r="M59" i="1"/>
  <c r="M60" i="1"/>
  <c r="M61" i="1"/>
  <c r="M62" i="1"/>
  <c r="M63" i="1"/>
  <c r="M64" i="1"/>
  <c r="M65" i="1"/>
  <c r="M66" i="1"/>
  <c r="M67" i="1"/>
  <c r="M68" i="1"/>
  <c r="M69" i="1"/>
  <c r="M70" i="1"/>
  <c r="M38" i="1"/>
  <c r="M39" i="1"/>
  <c r="M40" i="1"/>
  <c r="M41" i="1"/>
  <c r="M42" i="1"/>
  <c r="M43" i="1"/>
  <c r="M44" i="1"/>
  <c r="M45" i="1"/>
  <c r="M46" i="1"/>
  <c r="M47" i="1"/>
  <c r="M48" i="1"/>
  <c r="M49" i="1"/>
  <c r="M50" i="1"/>
  <c r="M73" i="1"/>
  <c r="M74" i="1"/>
  <c r="M75" i="1"/>
  <c r="M76" i="1"/>
  <c r="M77" i="1"/>
  <c r="M91" i="1"/>
  <c r="M92" i="1"/>
  <c r="M93" i="1"/>
  <c r="M94" i="1"/>
  <c r="M80" i="1"/>
  <c r="M81" i="1"/>
  <c r="M82" i="1"/>
  <c r="M83" i="1"/>
  <c r="M84" i="1"/>
  <c r="M85" i="1"/>
  <c r="M86" i="1"/>
  <c r="M97" i="1"/>
  <c r="M98" i="1"/>
  <c r="M99" i="1"/>
  <c r="M100" i="1"/>
  <c r="M101" i="1"/>
  <c r="M102" i="1"/>
  <c r="M103" i="1"/>
  <c r="M104" i="1"/>
  <c r="M105" i="1"/>
  <c r="M106" i="1"/>
  <c r="D98" i="1"/>
  <c r="P98" i="1" s="1"/>
  <c r="D99" i="1"/>
  <c r="P99" i="1" s="1"/>
  <c r="D100" i="1"/>
  <c r="P100" i="1" s="1"/>
  <c r="D101" i="1"/>
  <c r="P101" i="1" s="1"/>
  <c r="D102" i="1"/>
  <c r="P102" i="1" s="1"/>
  <c r="D103" i="1"/>
  <c r="P103" i="1" s="1"/>
  <c r="D104" i="1"/>
  <c r="P104" i="1" s="1"/>
  <c r="D105" i="1"/>
  <c r="P105" i="1" s="1"/>
  <c r="D106" i="1"/>
  <c r="P106" i="1" s="1"/>
  <c r="D97" i="1"/>
  <c r="P97" i="1" s="1"/>
  <c r="G97" i="1"/>
  <c r="G98" i="1"/>
  <c r="G99" i="1"/>
  <c r="G100" i="1"/>
  <c r="G101" i="1"/>
  <c r="G102" i="1"/>
  <c r="G103" i="1"/>
  <c r="G104" i="1"/>
  <c r="G105" i="1"/>
  <c r="G106" i="1"/>
  <c r="G81" i="1"/>
  <c r="G82" i="1"/>
  <c r="G83" i="1"/>
  <c r="G84" i="1"/>
  <c r="G85" i="1"/>
  <c r="G86" i="1"/>
  <c r="G87" i="1"/>
  <c r="G88" i="1"/>
  <c r="G89" i="1"/>
  <c r="G80" i="1"/>
  <c r="G74" i="1"/>
  <c r="G75" i="1"/>
  <c r="G76" i="1"/>
  <c r="G77" i="1"/>
  <c r="G73" i="1"/>
  <c r="G54" i="1"/>
  <c r="G55" i="1"/>
  <c r="G56" i="1"/>
  <c r="G57" i="1"/>
  <c r="G58" i="1"/>
  <c r="G59" i="1"/>
  <c r="G60" i="1"/>
  <c r="G61" i="1"/>
  <c r="G62" i="1"/>
  <c r="G63" i="1"/>
  <c r="G64" i="1"/>
  <c r="G65" i="1"/>
  <c r="G66" i="1"/>
  <c r="G67" i="1"/>
  <c r="G68" i="1"/>
  <c r="G69" i="1"/>
  <c r="G70" i="1"/>
  <c r="G53" i="1"/>
  <c r="G39" i="1"/>
  <c r="G40" i="1"/>
  <c r="G41" i="1"/>
  <c r="G42" i="1"/>
  <c r="G43" i="1"/>
  <c r="G44" i="1"/>
  <c r="G45" i="1"/>
  <c r="G46" i="1"/>
  <c r="G47" i="1"/>
  <c r="G48" i="1"/>
  <c r="G49" i="1"/>
  <c r="G50" i="1"/>
  <c r="G38" i="1"/>
  <c r="G29" i="1"/>
  <c r="G30" i="1"/>
  <c r="G31" i="1"/>
  <c r="G32" i="1"/>
  <c r="G33" i="1"/>
  <c r="G34" i="1"/>
  <c r="G35" i="1"/>
  <c r="G28" i="1"/>
  <c r="G25" i="1"/>
  <c r="J25" i="1" s="1"/>
  <c r="G24" i="1"/>
  <c r="G23" i="1"/>
  <c r="G22" i="1"/>
  <c r="G21" i="1"/>
  <c r="G20" i="1"/>
  <c r="G19" i="1"/>
  <c r="G18" i="1"/>
  <c r="G17" i="1"/>
  <c r="G16" i="1"/>
  <c r="G15" i="1"/>
  <c r="G14" i="1"/>
  <c r="G13" i="1"/>
  <c r="G12" i="1"/>
  <c r="G11" i="1"/>
  <c r="G10" i="1"/>
  <c r="G9" i="1"/>
  <c r="G8" i="1"/>
  <c r="G7" i="1"/>
  <c r="K33" i="15"/>
  <c r="K32" i="15"/>
  <c r="K31" i="15"/>
  <c r="K30" i="15"/>
  <c r="K29" i="15"/>
  <c r="K28" i="15"/>
  <c r="K27" i="15"/>
  <c r="K26" i="15"/>
  <c r="K25" i="15"/>
  <c r="K24" i="15"/>
  <c r="K23" i="15"/>
  <c r="K22" i="15"/>
  <c r="K21" i="15"/>
  <c r="K20" i="15"/>
  <c r="K19" i="15"/>
  <c r="K18" i="15"/>
  <c r="K17" i="15"/>
  <c r="K16" i="15"/>
  <c r="K15" i="15"/>
  <c r="K14" i="15"/>
  <c r="D8" i="1"/>
  <c r="D17" i="1"/>
  <c r="O17" i="1" s="1"/>
  <c r="R19" i="13"/>
  <c r="P31" i="1"/>
  <c r="P30" i="1"/>
  <c r="P29" i="1"/>
  <c r="P92" i="1"/>
  <c r="P93" i="1"/>
  <c r="P94" i="1"/>
  <c r="P91" i="1"/>
  <c r="P10" i="1"/>
  <c r="D50" i="1"/>
  <c r="D7" i="1"/>
  <c r="O7" i="1" s="1"/>
  <c r="D9" i="1"/>
  <c r="O9" i="1" s="1"/>
  <c r="D11" i="1"/>
  <c r="P11" i="1" s="1"/>
  <c r="D12" i="1"/>
  <c r="O12" i="1" s="1"/>
  <c r="D13" i="1"/>
  <c r="D14" i="1"/>
  <c r="O14" i="1" s="1"/>
  <c r="D15" i="1"/>
  <c r="P15" i="1" s="1"/>
  <c r="D16" i="1"/>
  <c r="P16" i="1"/>
  <c r="D18" i="1"/>
  <c r="D19" i="1"/>
  <c r="P19" i="1" s="1"/>
  <c r="D20" i="1"/>
  <c r="D21" i="1"/>
  <c r="O21" i="1" s="1"/>
  <c r="D22" i="1"/>
  <c r="O22" i="1" s="1"/>
  <c r="D23" i="1"/>
  <c r="D24" i="1"/>
  <c r="O24" i="1" s="1"/>
  <c r="D25" i="1"/>
  <c r="P28" i="1"/>
  <c r="P32" i="1"/>
  <c r="P33" i="1"/>
  <c r="P34" i="1"/>
  <c r="D38" i="1"/>
  <c r="O38" i="1" s="1"/>
  <c r="D39" i="1"/>
  <c r="D40" i="1"/>
  <c r="D41" i="1"/>
  <c r="O41" i="1" s="1"/>
  <c r="D42" i="1"/>
  <c r="D43" i="1"/>
  <c r="O43" i="1"/>
  <c r="P43" i="1"/>
  <c r="D44" i="1"/>
  <c r="P44" i="1" s="1"/>
  <c r="D45" i="1"/>
  <c r="D46" i="1"/>
  <c r="O46" i="1" s="1"/>
  <c r="D47" i="1"/>
  <c r="O47" i="1" s="1"/>
  <c r="D48" i="1"/>
  <c r="O48" i="1" s="1"/>
  <c r="P48" i="1"/>
  <c r="D49" i="1"/>
  <c r="O49" i="1" s="1"/>
  <c r="P53" i="1"/>
  <c r="P54" i="1"/>
  <c r="P55" i="1"/>
  <c r="P56" i="1"/>
  <c r="P57" i="1"/>
  <c r="P58" i="1"/>
  <c r="P59" i="1"/>
  <c r="P61" i="1"/>
  <c r="P63" i="1"/>
  <c r="P64" i="1"/>
  <c r="P65" i="1"/>
  <c r="P66" i="1"/>
  <c r="P67" i="1"/>
  <c r="P68" i="1"/>
  <c r="P69" i="1"/>
  <c r="P70" i="1"/>
  <c r="P73" i="1"/>
  <c r="P74" i="1"/>
  <c r="P75" i="1"/>
  <c r="P76" i="1"/>
  <c r="P77" i="1"/>
  <c r="P80" i="1"/>
  <c r="P81" i="1"/>
  <c r="P82" i="1"/>
  <c r="P83" i="1"/>
  <c r="P84" i="1"/>
  <c r="P85" i="1"/>
  <c r="P86" i="1"/>
  <c r="P60" i="1"/>
  <c r="P62" i="1"/>
  <c r="G54" i="12"/>
  <c r="W56" i="12" s="1"/>
  <c r="G53" i="12"/>
  <c r="W55" i="12" s="1"/>
  <c r="G52" i="12"/>
  <c r="G51" i="12"/>
  <c r="AB53" i="12" s="1"/>
  <c r="G50" i="12"/>
  <c r="AA52" i="12" s="1"/>
  <c r="G49" i="12"/>
  <c r="Z51" i="12" s="1"/>
  <c r="G48" i="12"/>
  <c r="G47" i="12"/>
  <c r="O31" i="13" s="1"/>
  <c r="P31" i="13" s="1"/>
  <c r="G46" i="12"/>
  <c r="O30" i="13" s="1"/>
  <c r="P30" i="13" s="1"/>
  <c r="G45" i="12"/>
  <c r="AA47" i="12" s="1"/>
  <c r="B75" i="8"/>
  <c r="B85" i="8"/>
  <c r="B86" i="8"/>
  <c r="B87" i="8"/>
  <c r="B88" i="8"/>
  <c r="B89" i="8"/>
  <c r="B90" i="8"/>
  <c r="B91" i="8"/>
  <c r="B92" i="8"/>
  <c r="B93" i="8"/>
  <c r="B94" i="8"/>
  <c r="B76" i="8"/>
  <c r="B77" i="8"/>
  <c r="B78" i="8"/>
  <c r="B79" i="8"/>
  <c r="B80" i="8"/>
  <c r="B81" i="8"/>
  <c r="B82" i="8"/>
  <c r="B83" i="8"/>
  <c r="B84" i="8"/>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N19" i="13"/>
  <c r="G41" i="12"/>
  <c r="X45" i="12" s="1"/>
  <c r="AB45" i="12"/>
  <c r="W47" i="12"/>
  <c r="W48" i="12"/>
  <c r="AA48" i="12"/>
  <c r="AB48" i="12"/>
  <c r="V49" i="12"/>
  <c r="W49" i="12"/>
  <c r="X49" i="12"/>
  <c r="Y49" i="12"/>
  <c r="Z49" i="12"/>
  <c r="AA49" i="12"/>
  <c r="AB49" i="12"/>
  <c r="V51" i="12"/>
  <c r="W51" i="12"/>
  <c r="AA51" i="12"/>
  <c r="W52" i="12"/>
  <c r="X52" i="12"/>
  <c r="X53" i="12"/>
  <c r="Y54" i="12"/>
  <c r="V55" i="12"/>
  <c r="X56" i="12"/>
  <c r="AA56" i="12"/>
  <c r="AB56" i="12"/>
  <c r="U51" i="12"/>
  <c r="U49" i="12"/>
  <c r="G37" i="12"/>
  <c r="AB41" i="12" s="1"/>
  <c r="G38" i="12"/>
  <c r="AA42" i="12" s="1"/>
  <c r="G39" i="12"/>
  <c r="X43" i="12" s="1"/>
  <c r="G40" i="12"/>
  <c r="G36" i="12"/>
  <c r="Y40" i="12" s="1"/>
  <c r="G35" i="12"/>
  <c r="X39" i="12" s="1"/>
  <c r="U39" i="12"/>
  <c r="M46" i="12"/>
  <c r="M47" i="12"/>
  <c r="M51" i="12"/>
  <c r="M54" i="12"/>
  <c r="M38" i="12"/>
  <c r="U36" i="12"/>
  <c r="V58" i="12"/>
  <c r="W58" i="12"/>
  <c r="X58" i="12"/>
  <c r="Y58" i="12"/>
  <c r="Z58" i="12"/>
  <c r="AA58" i="12"/>
  <c r="AB58" i="12"/>
  <c r="U58" i="12"/>
  <c r="U35" i="12"/>
  <c r="V35" i="12" s="1"/>
  <c r="G31" i="12"/>
  <c r="G30" i="12"/>
  <c r="J27" i="1"/>
  <c r="M40" i="12"/>
  <c r="V42" i="12"/>
  <c r="Z42" i="12"/>
  <c r="W42" i="12"/>
  <c r="U42" i="12"/>
  <c r="V40" i="12"/>
  <c r="Z40" i="12"/>
  <c r="W40" i="12"/>
  <c r="AA40" i="12"/>
  <c r="Y42" i="12"/>
  <c r="Z55" i="12"/>
  <c r="O34" i="13"/>
  <c r="P34" i="13" s="1"/>
  <c r="Y52" i="12"/>
  <c r="U52" i="12"/>
  <c r="Z52" i="12"/>
  <c r="P45" i="1"/>
  <c r="O45" i="1"/>
  <c r="O19" i="1"/>
  <c r="AB40" i="12"/>
  <c r="X42" i="12"/>
  <c r="U55" i="12"/>
  <c r="AB52" i="12"/>
  <c r="Y48" i="12"/>
  <c r="Z48" i="12"/>
  <c r="U48" i="12"/>
  <c r="P47" i="1"/>
  <c r="P7" i="1"/>
  <c r="P17" i="1"/>
  <c r="V43" i="12"/>
  <c r="W43" i="12"/>
  <c r="O37" i="13"/>
  <c r="P37" i="13" s="1"/>
  <c r="X55" i="12"/>
  <c r="Y55" i="12"/>
  <c r="M53" i="12"/>
  <c r="X40" i="12"/>
  <c r="AB42" i="12"/>
  <c r="AA55" i="12"/>
  <c r="O33" i="13"/>
  <c r="P33" i="13" s="1"/>
  <c r="X51" i="12"/>
  <c r="AB51" i="12"/>
  <c r="Y51" i="12"/>
  <c r="O38" i="13"/>
  <c r="P38" i="13" s="1"/>
  <c r="Y56" i="12"/>
  <c r="V56" i="12"/>
  <c r="Z56" i="12"/>
  <c r="O25" i="1"/>
  <c r="P25" i="1"/>
  <c r="O13" i="1"/>
  <c r="P13" i="1"/>
  <c r="O11" i="1"/>
  <c r="O15" i="1"/>
  <c r="P24" i="16"/>
  <c r="O11" i="16"/>
  <c r="P11" i="16"/>
  <c r="P47" i="18"/>
  <c r="O43" i="18"/>
  <c r="P43" i="18"/>
  <c r="O39" i="18"/>
  <c r="P39" i="18"/>
  <c r="I107" i="18"/>
  <c r="O15" i="16"/>
  <c r="P15" i="16"/>
  <c r="O12" i="16"/>
  <c r="P12" i="16"/>
  <c r="M78" i="18"/>
  <c r="P38" i="1"/>
  <c r="P22" i="1"/>
  <c r="O19" i="16"/>
  <c r="P19" i="16"/>
  <c r="O16" i="16"/>
  <c r="P16" i="16"/>
  <c r="O23" i="16"/>
  <c r="P23" i="16"/>
  <c r="O20" i="16"/>
  <c r="P20" i="16"/>
  <c r="O45" i="16"/>
  <c r="P45" i="16"/>
  <c r="O24" i="18"/>
  <c r="P24" i="18"/>
  <c r="O20" i="18"/>
  <c r="O16" i="18"/>
  <c r="P16" i="18"/>
  <c r="O12" i="18"/>
  <c r="O7" i="18"/>
  <c r="P7" i="18"/>
  <c r="J50" i="16"/>
  <c r="M36" i="18"/>
  <c r="I26" i="18"/>
  <c r="I6" i="14"/>
  <c r="C33" i="2" s="1"/>
  <c r="M71" i="16"/>
  <c r="C27" i="8"/>
  <c r="C117" i="8"/>
  <c r="C17" i="8"/>
  <c r="C8" i="8"/>
  <c r="C25" i="8"/>
  <c r="C18" i="8"/>
  <c r="C189" i="8"/>
  <c r="C48" i="8"/>
  <c r="C55" i="8"/>
  <c r="C72" i="8"/>
  <c r="C141" i="8"/>
  <c r="C142" i="8"/>
  <c r="C160" i="8"/>
  <c r="C107" i="8"/>
  <c r="C161" i="8"/>
  <c r="C179" i="8"/>
  <c r="C88" i="8"/>
  <c r="C174" i="8"/>
  <c r="C121" i="8"/>
  <c r="C163" i="8"/>
  <c r="C140" i="8"/>
  <c r="C50" i="8"/>
  <c r="C119" i="8"/>
  <c r="C64" i="8"/>
  <c r="C146" i="8"/>
  <c r="C154" i="8"/>
  <c r="C47" i="8"/>
  <c r="C2" i="8"/>
  <c r="C23" i="8"/>
  <c r="C43" i="8"/>
  <c r="C68" i="8"/>
  <c r="C114" i="8"/>
  <c r="C30" i="8"/>
  <c r="C7" i="8"/>
  <c r="C37" i="8"/>
  <c r="C158" i="8"/>
  <c r="C143" i="8"/>
  <c r="C98" i="8"/>
  <c r="C104" i="8"/>
  <c r="C124" i="8"/>
  <c r="C175" i="8"/>
  <c r="C132" i="8"/>
  <c r="C35" i="8"/>
  <c r="C78" i="8"/>
  <c r="C16" i="8"/>
  <c r="C83" i="8"/>
  <c r="C162" i="8"/>
  <c r="C135" i="8"/>
  <c r="C9" i="8"/>
  <c r="C116" i="8"/>
  <c r="C118" i="8"/>
  <c r="C165" i="8"/>
  <c r="C31" i="8"/>
  <c r="C133" i="8"/>
  <c r="C130" i="8"/>
  <c r="C44" i="8"/>
  <c r="C156" i="8"/>
  <c r="C184" i="8"/>
  <c r="C173" i="8"/>
  <c r="C91" i="8"/>
  <c r="C186" i="8"/>
  <c r="C85" i="8"/>
  <c r="C32" i="8"/>
  <c r="C159" i="8"/>
  <c r="C62" i="8"/>
  <c r="C10" i="8"/>
  <c r="C59" i="8"/>
  <c r="C15" i="8"/>
  <c r="C82" i="8"/>
  <c r="C109" i="8"/>
  <c r="C120" i="8"/>
  <c r="C105" i="8"/>
  <c r="C81" i="8"/>
  <c r="C5" i="8"/>
  <c r="C129" i="8"/>
  <c r="C99" i="8"/>
  <c r="C84" i="8"/>
  <c r="C96" i="8"/>
  <c r="C170" i="8"/>
  <c r="C155" i="8"/>
  <c r="C180" i="8"/>
  <c r="C49" i="8"/>
  <c r="C113" i="8"/>
  <c r="C51" i="8"/>
  <c r="N2" i="2"/>
  <c r="C42" i="8"/>
  <c r="C34" i="8"/>
  <c r="C46" i="8"/>
  <c r="C29" i="8"/>
  <c r="C138" i="8"/>
  <c r="C28" i="8"/>
  <c r="C150" i="8"/>
  <c r="C87" i="8"/>
  <c r="C110" i="8"/>
  <c r="C39" i="8"/>
  <c r="C53" i="8"/>
  <c r="C181" i="8"/>
  <c r="C139" i="8"/>
  <c r="C12" i="8"/>
  <c r="C131" i="8"/>
  <c r="C183" i="8"/>
  <c r="C169" i="8"/>
  <c r="C127" i="8"/>
  <c r="C56" i="8"/>
  <c r="C168" i="8"/>
  <c r="C92" i="8"/>
  <c r="C79" i="8"/>
  <c r="C58" i="8"/>
  <c r="C86" i="8"/>
  <c r="C61" i="8"/>
  <c r="C128" i="8"/>
  <c r="C123" i="8"/>
  <c r="C188" i="8"/>
  <c r="C14" i="8"/>
  <c r="C45" i="8"/>
  <c r="C66" i="8"/>
  <c r="C33" i="8"/>
  <c r="C6" i="8"/>
  <c r="C167" i="8"/>
  <c r="C102" i="8"/>
  <c r="C147" i="8"/>
  <c r="C106" i="8"/>
  <c r="C11" i="8"/>
  <c r="C54" i="8"/>
  <c r="C153" i="8"/>
  <c r="C80" i="8"/>
  <c r="C171" i="8"/>
  <c r="C178" i="8"/>
  <c r="C24" i="8"/>
  <c r="C94" i="8"/>
  <c r="C13" i="8"/>
  <c r="C97" i="8"/>
  <c r="C76" i="8"/>
  <c r="C103" i="8"/>
  <c r="C75" i="8"/>
  <c r="C20" i="8"/>
  <c r="C149" i="8"/>
  <c r="C69" i="8"/>
  <c r="C164" i="8"/>
  <c r="C101" i="8"/>
  <c r="C157" i="8"/>
  <c r="C3" i="8"/>
  <c r="C122" i="8"/>
  <c r="C137" i="8"/>
  <c r="C111" i="8"/>
  <c r="C136" i="8"/>
  <c r="C185" i="8"/>
  <c r="C77" i="8"/>
  <c r="C93" i="8"/>
  <c r="C115" i="8"/>
  <c r="C176" i="8"/>
  <c r="C151" i="8"/>
  <c r="C187" i="8"/>
  <c r="C73" i="8"/>
  <c r="C60" i="8"/>
  <c r="C152" i="8"/>
  <c r="C22" i="8"/>
  <c r="C177" i="8"/>
  <c r="C134" i="8"/>
  <c r="C148" i="8"/>
  <c r="C26" i="8"/>
  <c r="C172" i="8"/>
  <c r="C166" i="8"/>
  <c r="C70" i="8"/>
  <c r="C71" i="8"/>
  <c r="C89" i="8"/>
  <c r="C4" i="8"/>
  <c r="C108" i="8"/>
  <c r="C125" i="8"/>
  <c r="C182" i="8"/>
  <c r="C36" i="8"/>
  <c r="C74" i="8"/>
  <c r="C95" i="8"/>
  <c r="C41" i="8"/>
  <c r="C63" i="8"/>
  <c r="C57" i="8"/>
  <c r="C90" i="8"/>
  <c r="C67" i="8"/>
  <c r="C190" i="8"/>
  <c r="C144" i="8"/>
  <c r="C112" i="8"/>
  <c r="C38" i="8"/>
  <c r="C52" i="8"/>
  <c r="C21" i="8"/>
  <c r="C145" i="8"/>
  <c r="C19" i="8"/>
  <c r="C65" i="8"/>
  <c r="C40" i="8"/>
  <c r="C100" i="8"/>
  <c r="C126" i="8"/>
  <c r="W36" i="12" l="1"/>
  <c r="W35" i="12"/>
  <c r="P46" i="1"/>
  <c r="U56" i="12"/>
  <c r="T56" i="12" s="1"/>
  <c r="M49" i="12"/>
  <c r="AB43" i="12"/>
  <c r="AB55" i="12"/>
  <c r="AA43" i="12"/>
  <c r="V36" i="12"/>
  <c r="V48" i="12"/>
  <c r="V52" i="12"/>
  <c r="T52" i="12" s="1"/>
  <c r="M35" i="12"/>
  <c r="M50" i="12"/>
  <c r="Z39" i="12"/>
  <c r="M41" i="12"/>
  <c r="X48" i="12"/>
  <c r="Z45" i="12"/>
  <c r="P24" i="1"/>
  <c r="P21" i="1"/>
  <c r="P9" i="1"/>
  <c r="P50" i="16"/>
  <c r="P44" i="18"/>
  <c r="P17" i="18"/>
  <c r="U43" i="12"/>
  <c r="Y43" i="12"/>
  <c r="Y39" i="12"/>
  <c r="Y45" i="12"/>
  <c r="P12" i="1"/>
  <c r="I78" i="18"/>
  <c r="Z43" i="12"/>
  <c r="M39" i="12"/>
  <c r="V39" i="12"/>
  <c r="P41" i="1"/>
  <c r="P14" i="1"/>
  <c r="M36" i="16"/>
  <c r="U53" i="12"/>
  <c r="AA50" i="12"/>
  <c r="M48" i="12"/>
  <c r="W50" i="12"/>
  <c r="P42" i="1"/>
  <c r="O42" i="1"/>
  <c r="V44" i="12"/>
  <c r="W44" i="12"/>
  <c r="U44" i="12"/>
  <c r="AB44" i="12"/>
  <c r="Z44" i="12"/>
  <c r="AA44" i="12"/>
  <c r="Y44" i="12"/>
  <c r="Y47" i="12"/>
  <c r="M45" i="12"/>
  <c r="U47" i="12"/>
  <c r="V47" i="12"/>
  <c r="Z47" i="12"/>
  <c r="O29" i="13"/>
  <c r="P29" i="13" s="1"/>
  <c r="X47" i="12"/>
  <c r="AB47" i="12"/>
  <c r="P18" i="1"/>
  <c r="O18" i="1"/>
  <c r="I51" i="16"/>
  <c r="O25" i="18"/>
  <c r="P25" i="18"/>
  <c r="O8" i="18"/>
  <c r="P8" i="18"/>
  <c r="X36" i="12"/>
  <c r="X35" i="12"/>
  <c r="O20" i="1"/>
  <c r="P20" i="1"/>
  <c r="P50" i="1"/>
  <c r="O50" i="1"/>
  <c r="P8" i="1"/>
  <c r="O8" i="1"/>
  <c r="T48" i="12"/>
  <c r="X44" i="12"/>
  <c r="Y41" i="12"/>
  <c r="V53" i="12"/>
  <c r="Z53" i="12"/>
  <c r="W53" i="12"/>
  <c r="AA53" i="12"/>
  <c r="O35" i="13"/>
  <c r="P35" i="13" s="1"/>
  <c r="Y53" i="12"/>
  <c r="O40" i="1"/>
  <c r="P40" i="1"/>
  <c r="M26" i="16"/>
  <c r="P9" i="18"/>
  <c r="T42" i="12"/>
  <c r="AA39" i="12"/>
  <c r="W39" i="12"/>
  <c r="T51" i="12"/>
  <c r="M71" i="1"/>
  <c r="P48" i="16"/>
  <c r="M71" i="18"/>
  <c r="M26" i="1"/>
  <c r="M95" i="18"/>
  <c r="M36" i="12"/>
  <c r="AB39" i="12"/>
  <c r="U40" i="12"/>
  <c r="T40" i="12" s="1"/>
  <c r="U45" i="12"/>
  <c r="V45" i="12"/>
  <c r="P49" i="1"/>
  <c r="M95" i="1"/>
  <c r="D34" i="14"/>
  <c r="P8" i="16"/>
  <c r="P7" i="16"/>
  <c r="I78" i="16"/>
  <c r="I36" i="16"/>
  <c r="P46" i="18"/>
  <c r="P42" i="18"/>
  <c r="P38" i="18"/>
  <c r="P15" i="18"/>
  <c r="D171" i="8"/>
  <c r="D82" i="8"/>
  <c r="D15" i="8"/>
  <c r="D72" i="8"/>
  <c r="D36" i="8"/>
  <c r="D92" i="8"/>
  <c r="D159" i="8"/>
  <c r="D48" i="8"/>
  <c r="D128" i="8"/>
  <c r="D12" i="8"/>
  <c r="D112" i="8"/>
  <c r="D176" i="8"/>
  <c r="D153" i="8"/>
  <c r="D131" i="8"/>
  <c r="D14" i="8"/>
  <c r="D57" i="8"/>
  <c r="D167" i="8"/>
  <c r="D67" i="8"/>
  <c r="D106" i="8"/>
  <c r="D87" i="8"/>
  <c r="D35" i="8"/>
  <c r="D185" i="8"/>
  <c r="D111" i="8"/>
  <c r="D77" i="8"/>
  <c r="D121" i="8"/>
  <c r="D62" i="8"/>
  <c r="D81" i="8"/>
  <c r="D34" i="8"/>
  <c r="D63" i="8"/>
  <c r="D115" i="8"/>
  <c r="D79" i="8"/>
  <c r="D28" i="8"/>
  <c r="D26" i="8"/>
  <c r="D29" i="8"/>
  <c r="D102" i="8"/>
  <c r="D138" i="8"/>
  <c r="D33" i="8"/>
  <c r="D76" i="8"/>
  <c r="D146" i="8"/>
  <c r="D19" i="8"/>
  <c r="D156" i="8"/>
  <c r="D55" i="8"/>
  <c r="D107" i="8"/>
  <c r="D186" i="8"/>
  <c r="D64" i="8"/>
  <c r="D180" i="8"/>
  <c r="D144" i="8"/>
  <c r="D147" i="8"/>
  <c r="D69" i="8"/>
  <c r="D44" i="8"/>
  <c r="D179" i="8"/>
  <c r="D30" i="8"/>
  <c r="D8" i="8"/>
  <c r="D71" i="8"/>
  <c r="D143" i="8"/>
  <c r="D122" i="8"/>
  <c r="D105" i="8"/>
  <c r="D91" i="8"/>
  <c r="D141" i="8"/>
  <c r="D6" i="8"/>
  <c r="D160" i="8"/>
  <c r="D86" i="8"/>
  <c r="D43" i="8"/>
  <c r="D129" i="8"/>
  <c r="D100" i="8"/>
  <c r="D56" i="8"/>
  <c r="D11" i="8"/>
  <c r="D181" i="8"/>
  <c r="D9" i="8"/>
  <c r="D52" i="8"/>
  <c r="D66" i="8"/>
  <c r="D53" i="8"/>
  <c r="D104" i="8"/>
  <c r="D47" i="8"/>
  <c r="D172" i="8"/>
  <c r="D132" i="8"/>
  <c r="D189" i="8"/>
  <c r="D116" i="8"/>
  <c r="D58" i="8"/>
  <c r="D165" i="8"/>
  <c r="D170" i="8"/>
  <c r="D61" i="8"/>
  <c r="D99" i="8"/>
  <c r="D59" i="8"/>
  <c r="D168" i="8"/>
  <c r="D127" i="8"/>
  <c r="D190" i="8"/>
  <c r="D183" i="8"/>
  <c r="D118" i="8"/>
  <c r="D25" i="8"/>
  <c r="D31" i="8"/>
  <c r="D13" i="8"/>
  <c r="D90" i="8"/>
  <c r="D120" i="8"/>
  <c r="D42" i="8"/>
  <c r="D70" i="8"/>
  <c r="D126" i="8"/>
  <c r="D93" i="8"/>
  <c r="D21" i="8"/>
  <c r="D150" i="8"/>
  <c r="D23" i="8"/>
  <c r="D60" i="8"/>
  <c r="D5" i="8"/>
  <c r="D125" i="8"/>
  <c r="D85" i="8"/>
  <c r="D65" i="8"/>
  <c r="D134" i="8"/>
  <c r="D97" i="8"/>
  <c r="D68" i="8"/>
  <c r="D173" i="8"/>
  <c r="D37" i="8"/>
  <c r="D124" i="8"/>
  <c r="D149" i="8"/>
  <c r="D184" i="8"/>
  <c r="D155" i="8"/>
  <c r="D175" i="8"/>
  <c r="D20" i="8"/>
  <c r="D161" i="8"/>
  <c r="D113" i="8"/>
  <c r="D158" i="8"/>
  <c r="D22" i="8"/>
  <c r="D40" i="8"/>
  <c r="D10" i="8"/>
  <c r="D46" i="8"/>
  <c r="D114" i="8"/>
  <c r="D80" i="8"/>
  <c r="D136" i="8"/>
  <c r="D152" i="8"/>
  <c r="D7" i="8"/>
  <c r="D88" i="8"/>
  <c r="D45" i="8"/>
  <c r="D135" i="8"/>
  <c r="D95" i="8"/>
  <c r="D130" i="8"/>
  <c r="D133" i="8"/>
  <c r="D32" i="8"/>
  <c r="D151" i="8"/>
  <c r="D177" i="8"/>
  <c r="D137" i="8"/>
  <c r="D17" i="8"/>
  <c r="D164" i="8"/>
  <c r="D101" i="8"/>
  <c r="D50" i="8"/>
  <c r="D38" i="8"/>
  <c r="D169" i="8"/>
  <c r="D139" i="8"/>
  <c r="D89" i="8"/>
  <c r="D94" i="8"/>
  <c r="D119" i="8"/>
  <c r="D51" i="8"/>
  <c r="D145" i="8"/>
  <c r="D110" i="8"/>
  <c r="D2" i="8"/>
  <c r="D162" i="8"/>
  <c r="D187" i="8"/>
  <c r="D96" i="8"/>
  <c r="D73" i="8"/>
  <c r="D140" i="8"/>
  <c r="D188" i="8"/>
  <c r="D18" i="8"/>
  <c r="D178" i="8"/>
  <c r="D27" i="8"/>
  <c r="D49" i="8"/>
  <c r="D74" i="8"/>
  <c r="D98" i="8"/>
  <c r="D84" i="8"/>
  <c r="D54" i="8"/>
  <c r="D75" i="8"/>
  <c r="D78" i="8"/>
  <c r="D24" i="8"/>
  <c r="D108" i="8"/>
  <c r="D103" i="8"/>
  <c r="D83" i="8"/>
  <c r="D41" i="8"/>
  <c r="D3" i="8"/>
  <c r="D182" i="8"/>
  <c r="D123" i="8"/>
  <c r="D39" i="8"/>
  <c r="D154" i="8"/>
  <c r="D174" i="8"/>
  <c r="D166" i="8"/>
  <c r="D109" i="8"/>
  <c r="D142" i="8"/>
  <c r="D157" i="8"/>
  <c r="D4" i="8"/>
  <c r="D117" i="8"/>
  <c r="D148" i="8"/>
  <c r="D16" i="8"/>
  <c r="D163" i="8"/>
  <c r="O11" i="18"/>
  <c r="O107" i="18" s="1"/>
  <c r="P11" i="18"/>
  <c r="M51" i="16"/>
  <c r="P23" i="1"/>
  <c r="O23" i="1"/>
  <c r="Z41" i="12"/>
  <c r="W41" i="12"/>
  <c r="X41" i="12"/>
  <c r="U41" i="12"/>
  <c r="V41" i="12"/>
  <c r="AA41" i="12"/>
  <c r="M37" i="12"/>
  <c r="I107" i="1"/>
  <c r="M107" i="1"/>
  <c r="I71" i="1"/>
  <c r="D35" i="14"/>
  <c r="D36" i="14"/>
  <c r="D37" i="14"/>
  <c r="M95" i="16"/>
  <c r="Y35" i="12"/>
  <c r="Y36" i="12"/>
  <c r="I71" i="16"/>
  <c r="M107" i="16"/>
  <c r="M78" i="16"/>
  <c r="I107" i="16"/>
  <c r="I26" i="16"/>
  <c r="M107" i="18"/>
  <c r="O19" i="18"/>
  <c r="P19" i="18"/>
  <c r="M36" i="1"/>
  <c r="O39" i="16"/>
  <c r="O107" i="16" s="1"/>
  <c r="C65" i="3" s="1"/>
  <c r="P39" i="16"/>
  <c r="T43" i="12"/>
  <c r="M78" i="1"/>
  <c r="M51" i="1"/>
  <c r="I51" i="1"/>
  <c r="I78" i="1"/>
  <c r="I51" i="18"/>
  <c r="I71" i="18"/>
  <c r="I36" i="18"/>
  <c r="M51" i="18"/>
  <c r="M26" i="18"/>
  <c r="T39" i="12"/>
  <c r="T49" i="12"/>
  <c r="T55" i="12"/>
  <c r="T47" i="12"/>
  <c r="Y50" i="12"/>
  <c r="V50" i="12"/>
  <c r="Z50" i="12"/>
  <c r="O32" i="13"/>
  <c r="P32" i="13" s="1"/>
  <c r="X50" i="12"/>
  <c r="AB50" i="12"/>
  <c r="U50" i="12"/>
  <c r="I36" i="1"/>
  <c r="I95" i="1"/>
  <c r="O44" i="1"/>
  <c r="P49" i="16"/>
  <c r="P21" i="18"/>
  <c r="P13" i="18"/>
  <c r="W54" i="12"/>
  <c r="AA54" i="12"/>
  <c r="U54" i="12"/>
  <c r="X54" i="12"/>
  <c r="AB54" i="12"/>
  <c r="M52" i="12"/>
  <c r="M56" i="12" s="1"/>
  <c r="O36" i="13"/>
  <c r="P36" i="13" s="1"/>
  <c r="V54" i="12"/>
  <c r="Z54" i="12"/>
  <c r="P39" i="1"/>
  <c r="P107" i="1" s="1"/>
  <c r="O39" i="1"/>
  <c r="I26" i="1"/>
  <c r="I95" i="16"/>
  <c r="I95" i="18"/>
  <c r="AA45" i="12"/>
  <c r="W45" i="12"/>
  <c r="T53" i="12" l="1"/>
  <c r="P107" i="16"/>
  <c r="T50" i="12"/>
  <c r="T45" i="12"/>
  <c r="I1" i="18"/>
  <c r="I1" i="16"/>
  <c r="T54" i="12"/>
  <c r="P107" i="18"/>
  <c r="C67" i="3" s="1"/>
  <c r="C69" i="3" s="1"/>
  <c r="T44" i="12"/>
  <c r="Q33" i="13"/>
  <c r="Q38" i="13"/>
  <c r="Q32" i="13"/>
  <c r="Q35" i="13"/>
  <c r="T41" i="12"/>
  <c r="Q37" i="13"/>
  <c r="Q34" i="13"/>
  <c r="O107" i="1"/>
  <c r="T58" i="12"/>
  <c r="Q31" i="13"/>
  <c r="Q29" i="13"/>
  <c r="I1" i="1"/>
  <c r="Z36" i="12"/>
  <c r="Z35" i="12"/>
  <c r="Q30" i="13"/>
  <c r="Q36" i="13"/>
  <c r="E39" i="8"/>
  <c r="E190" i="8"/>
  <c r="E139" i="8"/>
  <c r="E173" i="8"/>
  <c r="E186" i="8"/>
  <c r="E128" i="8"/>
  <c r="E65" i="8"/>
  <c r="E52" i="8"/>
  <c r="E116" i="8"/>
  <c r="E18" i="8"/>
  <c r="E110" i="8"/>
  <c r="E102" i="8"/>
  <c r="E22" i="8"/>
  <c r="E167" i="8"/>
  <c r="E75" i="8"/>
  <c r="E164" i="8"/>
  <c r="E13" i="8"/>
  <c r="E56" i="8"/>
  <c r="E95" i="8"/>
  <c r="E68" i="8"/>
  <c r="E138" i="8"/>
  <c r="E55" i="8"/>
  <c r="E33" i="8"/>
  <c r="E155" i="8"/>
  <c r="E2" i="8"/>
  <c r="E57" i="8"/>
  <c r="E20" i="8"/>
  <c r="E113" i="8"/>
  <c r="E158" i="8"/>
  <c r="E34" i="8"/>
  <c r="E98" i="8"/>
  <c r="E127" i="8"/>
  <c r="E66" i="8"/>
  <c r="E72" i="8"/>
  <c r="E59" i="8"/>
  <c r="E41" i="8"/>
  <c r="E131" i="8"/>
  <c r="E176" i="8"/>
  <c r="E175" i="8"/>
  <c r="E117" i="8"/>
  <c r="E184" i="8"/>
  <c r="E166" i="8"/>
  <c r="E54" i="8"/>
  <c r="E82" i="8"/>
  <c r="E88" i="8"/>
  <c r="E189" i="8"/>
  <c r="E4" i="8"/>
  <c r="E104" i="8"/>
  <c r="E48" i="8"/>
  <c r="E35" i="8"/>
  <c r="E85" i="8"/>
  <c r="E12" i="8"/>
  <c r="E89" i="8"/>
  <c r="E146" i="8"/>
  <c r="E183" i="8"/>
  <c r="E119" i="8"/>
  <c r="E74" i="8"/>
  <c r="E80" i="8"/>
  <c r="E42" i="8"/>
  <c r="E187" i="8"/>
  <c r="E94" i="8"/>
  <c r="E92" i="8"/>
  <c r="E86" i="8"/>
  <c r="E50" i="8"/>
  <c r="E156" i="8"/>
  <c r="E163" i="8"/>
  <c r="E58" i="8"/>
  <c r="E93" i="8"/>
  <c r="E122" i="8"/>
  <c r="E179" i="8"/>
  <c r="E38" i="8"/>
  <c r="E8" i="8"/>
  <c r="E27" i="8"/>
  <c r="E177" i="8"/>
  <c r="E67" i="8"/>
  <c r="E77" i="8"/>
  <c r="E111" i="8"/>
  <c r="E144" i="8"/>
  <c r="E157" i="8"/>
  <c r="E19" i="8"/>
  <c r="E108" i="8"/>
  <c r="E6" i="8"/>
  <c r="E87" i="8"/>
  <c r="E30" i="8"/>
  <c r="E16" i="8"/>
  <c r="E121" i="8"/>
  <c r="E136" i="8"/>
  <c r="E14" i="8"/>
  <c r="E168" i="8"/>
  <c r="E31" i="8"/>
  <c r="E24" i="8"/>
  <c r="E115" i="8"/>
  <c r="E90" i="8"/>
  <c r="E15" i="8"/>
  <c r="E25" i="8"/>
  <c r="E84" i="8"/>
  <c r="E9" i="8"/>
  <c r="E185" i="8"/>
  <c r="E140" i="8"/>
  <c r="E10" i="8"/>
  <c r="E137" i="8"/>
  <c r="E51" i="8"/>
  <c r="E36" i="8"/>
  <c r="E83" i="8"/>
  <c r="E21" i="8"/>
  <c r="E37" i="8"/>
  <c r="E73" i="8"/>
  <c r="E125" i="8"/>
  <c r="E91" i="8"/>
  <c r="E118" i="8"/>
  <c r="E132" i="8"/>
  <c r="E61" i="8"/>
  <c r="E172" i="8"/>
  <c r="E152" i="8"/>
  <c r="E5" i="8"/>
  <c r="E149" i="8"/>
  <c r="E69" i="8"/>
  <c r="E76" i="8"/>
  <c r="E81" i="8"/>
  <c r="E99" i="8"/>
  <c r="E147" i="8"/>
  <c r="E71" i="8"/>
  <c r="E141" i="8"/>
  <c r="E160" i="8"/>
  <c r="E100" i="8"/>
  <c r="E109" i="8"/>
  <c r="E107" i="8"/>
  <c r="E3" i="8"/>
  <c r="E181" i="8"/>
  <c r="E151" i="8"/>
  <c r="E28" i="8"/>
  <c r="E170" i="8"/>
  <c r="E126" i="8"/>
  <c r="E162" i="8"/>
  <c r="E178" i="8"/>
  <c r="E105" i="8"/>
  <c r="E148" i="8"/>
  <c r="E174" i="8"/>
  <c r="E70" i="8"/>
  <c r="E106" i="8"/>
  <c r="E114" i="8"/>
  <c r="E47" i="8"/>
  <c r="E182" i="8"/>
  <c r="E120" i="8"/>
  <c r="E153" i="8"/>
  <c r="E46" i="8"/>
  <c r="E133" i="8"/>
  <c r="E45" i="8"/>
  <c r="E171" i="8"/>
  <c r="E78" i="8"/>
  <c r="E64" i="8"/>
  <c r="E154" i="8"/>
  <c r="E161" i="8"/>
  <c r="E129" i="8"/>
  <c r="E169" i="8"/>
  <c r="E142" i="8"/>
  <c r="E188" i="8"/>
  <c r="E180" i="8"/>
  <c r="E44" i="8"/>
  <c r="E97" i="8"/>
  <c r="E96" i="8"/>
  <c r="E49" i="8"/>
  <c r="E103" i="8"/>
  <c r="E79" i="8"/>
  <c r="E26" i="8"/>
  <c r="E32" i="8"/>
  <c r="E159" i="8"/>
  <c r="E124" i="8"/>
  <c r="E23" i="8"/>
  <c r="E123" i="8"/>
  <c r="E145" i="8"/>
  <c r="E17" i="8"/>
  <c r="E101" i="8"/>
  <c r="E135" i="8"/>
  <c r="E165" i="8"/>
  <c r="E40" i="8"/>
  <c r="E143" i="8"/>
  <c r="E62" i="8"/>
  <c r="E60" i="8"/>
  <c r="E63" i="8"/>
  <c r="E7" i="8"/>
  <c r="E150" i="8"/>
  <c r="E130" i="8"/>
  <c r="E11" i="8"/>
  <c r="E53" i="8"/>
  <c r="E134" i="8"/>
  <c r="E29" i="8"/>
  <c r="E112" i="8"/>
  <c r="E43" i="8"/>
  <c r="G150" i="8" l="1"/>
  <c r="F150" i="8"/>
  <c r="F123" i="8"/>
  <c r="G123" i="8"/>
  <c r="G180" i="8"/>
  <c r="F180" i="8"/>
  <c r="F78" i="8"/>
  <c r="G78" i="8"/>
  <c r="F174" i="8"/>
  <c r="G174" i="8"/>
  <c r="G109" i="8"/>
  <c r="F109" i="8"/>
  <c r="G152" i="8"/>
  <c r="F152" i="8"/>
  <c r="G185" i="8"/>
  <c r="F185" i="8"/>
  <c r="F31" i="8"/>
  <c r="G31" i="8"/>
  <c r="G144" i="8"/>
  <c r="F144" i="8"/>
  <c r="G92" i="8"/>
  <c r="F92" i="8"/>
  <c r="G146" i="8"/>
  <c r="F146" i="8"/>
  <c r="G166" i="8"/>
  <c r="F166" i="8"/>
  <c r="F34" i="8"/>
  <c r="G34" i="8"/>
  <c r="G56" i="8"/>
  <c r="F56" i="8"/>
  <c r="F128" i="8"/>
  <c r="G128" i="8"/>
  <c r="AA36" i="12"/>
  <c r="AA35" i="12"/>
  <c r="R34" i="13"/>
  <c r="V34" i="13" s="1"/>
  <c r="S34" i="13"/>
  <c r="U34" i="13" s="1"/>
  <c r="G7" i="8"/>
  <c r="F7" i="8"/>
  <c r="G101" i="8"/>
  <c r="F101" i="8"/>
  <c r="G96" i="8"/>
  <c r="F96" i="8"/>
  <c r="F171" i="8"/>
  <c r="G171" i="8"/>
  <c r="F148" i="8"/>
  <c r="G148" i="8"/>
  <c r="F100" i="8"/>
  <c r="G100" i="8"/>
  <c r="G172" i="8"/>
  <c r="F172" i="8"/>
  <c r="G137" i="8"/>
  <c r="F137" i="8"/>
  <c r="G168" i="8"/>
  <c r="F168" i="8"/>
  <c r="F111" i="8"/>
  <c r="G111" i="8"/>
  <c r="G156" i="8"/>
  <c r="F156" i="8"/>
  <c r="G89" i="8"/>
  <c r="F89" i="8"/>
  <c r="G184" i="8"/>
  <c r="F184" i="8"/>
  <c r="F158" i="8"/>
  <c r="G158" i="8"/>
  <c r="G13" i="8"/>
  <c r="F13" i="8"/>
  <c r="G186" i="8"/>
  <c r="F186" i="8"/>
  <c r="R37" i="13"/>
  <c r="V37" i="13" s="1"/>
  <c r="S37" i="13"/>
  <c r="U37" i="13" s="1"/>
  <c r="S38" i="13"/>
  <c r="U38" i="13" s="1"/>
  <c r="R38" i="13"/>
  <c r="V38" i="13" s="1"/>
  <c r="G134" i="8"/>
  <c r="F134" i="8"/>
  <c r="F135" i="8"/>
  <c r="G135" i="8"/>
  <c r="G49" i="8"/>
  <c r="F49" i="8"/>
  <c r="G46" i="8"/>
  <c r="F46" i="8"/>
  <c r="F162" i="8"/>
  <c r="G162" i="8"/>
  <c r="F71" i="8"/>
  <c r="G71" i="8"/>
  <c r="G118" i="8"/>
  <c r="F118" i="8"/>
  <c r="G51" i="8"/>
  <c r="F51" i="8"/>
  <c r="G121" i="8"/>
  <c r="F121" i="8"/>
  <c r="G177" i="8"/>
  <c r="F177" i="8"/>
  <c r="G163" i="8"/>
  <c r="F163" i="8"/>
  <c r="F35" i="8"/>
  <c r="G35" i="8"/>
  <c r="F176" i="8"/>
  <c r="G176" i="8"/>
  <c r="F57" i="8"/>
  <c r="G57" i="8"/>
  <c r="G167" i="8"/>
  <c r="F167" i="8"/>
  <c r="G190" i="8"/>
  <c r="F190" i="8"/>
  <c r="R32" i="13"/>
  <c r="V32" i="13" s="1"/>
  <c r="S32" i="13"/>
  <c r="U32" i="13" s="1"/>
  <c r="G53" i="8"/>
  <c r="F53" i="8"/>
  <c r="G23" i="8"/>
  <c r="F23" i="8"/>
  <c r="G188" i="8"/>
  <c r="F188" i="8"/>
  <c r="F153" i="8"/>
  <c r="G153" i="8"/>
  <c r="G126" i="8"/>
  <c r="F126" i="8"/>
  <c r="F147" i="8"/>
  <c r="G147" i="8"/>
  <c r="G91" i="8"/>
  <c r="F91" i="8"/>
  <c r="F9" i="8"/>
  <c r="G9" i="8"/>
  <c r="G16" i="8"/>
  <c r="F16" i="8"/>
  <c r="F27" i="8"/>
  <c r="G27" i="8"/>
  <c r="G94" i="8"/>
  <c r="F94" i="8"/>
  <c r="G48" i="8"/>
  <c r="F48" i="8"/>
  <c r="F131" i="8"/>
  <c r="G131" i="8"/>
  <c r="F2" i="8"/>
  <c r="G2" i="8"/>
  <c r="F22" i="8"/>
  <c r="G22" i="8"/>
  <c r="G39" i="8"/>
  <c r="F39" i="8"/>
  <c r="F112" i="8"/>
  <c r="G112" i="8"/>
  <c r="G63" i="8"/>
  <c r="F63" i="8"/>
  <c r="F40" i="8"/>
  <c r="G40" i="8"/>
  <c r="G17" i="8"/>
  <c r="F17" i="8"/>
  <c r="G124" i="8"/>
  <c r="F124" i="8"/>
  <c r="G79" i="8"/>
  <c r="F79" i="8"/>
  <c r="F97" i="8"/>
  <c r="G97" i="8"/>
  <c r="F142" i="8"/>
  <c r="G142" i="8"/>
  <c r="F154" i="8"/>
  <c r="G154" i="8"/>
  <c r="F45" i="8"/>
  <c r="G45" i="8"/>
  <c r="F120" i="8"/>
  <c r="G120" i="8"/>
  <c r="G106" i="8"/>
  <c r="F106" i="8"/>
  <c r="G105" i="8"/>
  <c r="F105" i="8"/>
  <c r="F170" i="8"/>
  <c r="G170" i="8"/>
  <c r="F3" i="8"/>
  <c r="G3" i="8"/>
  <c r="F160" i="8"/>
  <c r="G160" i="8"/>
  <c r="G99" i="8"/>
  <c r="F99" i="8"/>
  <c r="G149" i="8"/>
  <c r="F149" i="8"/>
  <c r="G61" i="8"/>
  <c r="F61" i="8"/>
  <c r="F125" i="8"/>
  <c r="G125" i="8"/>
  <c r="F83" i="8"/>
  <c r="G83" i="8"/>
  <c r="G10" i="8"/>
  <c r="F10" i="8"/>
  <c r="F84" i="8"/>
  <c r="G84" i="8"/>
  <c r="F115" i="8"/>
  <c r="G115" i="8"/>
  <c r="G14" i="8"/>
  <c r="F14" i="8"/>
  <c r="G30" i="8"/>
  <c r="F30" i="8"/>
  <c r="G19" i="8"/>
  <c r="F19" i="8"/>
  <c r="F77" i="8"/>
  <c r="G77" i="8"/>
  <c r="G8" i="8"/>
  <c r="F8" i="8"/>
  <c r="G93" i="8"/>
  <c r="F93" i="8"/>
  <c r="F50" i="8"/>
  <c r="G50" i="8"/>
  <c r="G187" i="8"/>
  <c r="F187" i="8"/>
  <c r="F119" i="8"/>
  <c r="G119" i="8"/>
  <c r="G12" i="8"/>
  <c r="F12" i="8"/>
  <c r="G104" i="8"/>
  <c r="F104" i="8"/>
  <c r="G82" i="8"/>
  <c r="F82" i="8"/>
  <c r="G117" i="8"/>
  <c r="F117" i="8"/>
  <c r="G41" i="8"/>
  <c r="F41" i="8"/>
  <c r="G127" i="8"/>
  <c r="F127" i="8"/>
  <c r="G113" i="8"/>
  <c r="F113" i="8"/>
  <c r="F155" i="8"/>
  <c r="G155" i="8"/>
  <c r="G68" i="8"/>
  <c r="F68" i="8"/>
  <c r="F164" i="8"/>
  <c r="G164" i="8"/>
  <c r="G102" i="8"/>
  <c r="F102" i="8"/>
  <c r="G52" i="8"/>
  <c r="F52" i="8"/>
  <c r="F173" i="8"/>
  <c r="G173" i="8"/>
  <c r="S36" i="13"/>
  <c r="U36" i="13" s="1"/>
  <c r="R36" i="13"/>
  <c r="V36" i="13" s="1"/>
  <c r="F62" i="8"/>
  <c r="G62" i="8"/>
  <c r="G32" i="8"/>
  <c r="F32" i="8"/>
  <c r="F129" i="8"/>
  <c r="G129" i="8"/>
  <c r="G47" i="8"/>
  <c r="F47" i="8"/>
  <c r="F151" i="8"/>
  <c r="G151" i="8"/>
  <c r="G76" i="8"/>
  <c r="F76" i="8"/>
  <c r="G37" i="8"/>
  <c r="F37" i="8"/>
  <c r="G15" i="8"/>
  <c r="F15" i="8"/>
  <c r="G6" i="8"/>
  <c r="F6" i="8"/>
  <c r="G179" i="8"/>
  <c r="F179" i="8"/>
  <c r="G80" i="8"/>
  <c r="F80" i="8"/>
  <c r="F189" i="8"/>
  <c r="G189" i="8"/>
  <c r="G72" i="8"/>
  <c r="F72" i="8"/>
  <c r="G55" i="8"/>
  <c r="F55" i="8"/>
  <c r="F18" i="8"/>
  <c r="G18" i="8"/>
  <c r="S31" i="13"/>
  <c r="U31" i="13" s="1"/>
  <c r="R31" i="13"/>
  <c r="V31" i="13" s="1"/>
  <c r="G43" i="8"/>
  <c r="F43" i="8"/>
  <c r="F143" i="8"/>
  <c r="G143" i="8"/>
  <c r="F26" i="8"/>
  <c r="G26" i="8"/>
  <c r="F161" i="8"/>
  <c r="G161" i="8"/>
  <c r="G114" i="8"/>
  <c r="F114" i="8"/>
  <c r="F181" i="8"/>
  <c r="G181" i="8"/>
  <c r="G69" i="8"/>
  <c r="F69" i="8"/>
  <c r="G21" i="8"/>
  <c r="F21" i="8"/>
  <c r="F90" i="8"/>
  <c r="G90" i="8"/>
  <c r="F108" i="8"/>
  <c r="G108" i="8"/>
  <c r="F122" i="8"/>
  <c r="G122" i="8"/>
  <c r="G74" i="8"/>
  <c r="F74" i="8"/>
  <c r="F88" i="8"/>
  <c r="G88" i="8"/>
  <c r="G66" i="8"/>
  <c r="F66" i="8"/>
  <c r="F138" i="8"/>
  <c r="G138" i="8"/>
  <c r="F116" i="8"/>
  <c r="G116" i="8"/>
  <c r="G11" i="8"/>
  <c r="F11" i="8"/>
  <c r="G29" i="8"/>
  <c r="F29" i="8"/>
  <c r="G130" i="8"/>
  <c r="F130" i="8"/>
  <c r="G60" i="8"/>
  <c r="F60" i="8"/>
  <c r="G165" i="8"/>
  <c r="F165" i="8"/>
  <c r="F145" i="8"/>
  <c r="G145" i="8"/>
  <c r="F159" i="8"/>
  <c r="G159" i="8"/>
  <c r="F103" i="8"/>
  <c r="G103" i="8"/>
  <c r="F44" i="8"/>
  <c r="G44" i="8"/>
  <c r="F169" i="8"/>
  <c r="G169" i="8"/>
  <c r="G64" i="8"/>
  <c r="F64" i="8"/>
  <c r="G133" i="8"/>
  <c r="F133" i="8"/>
  <c r="G182" i="8"/>
  <c r="F182" i="8"/>
  <c r="F70" i="8"/>
  <c r="G70" i="8"/>
  <c r="G178" i="8"/>
  <c r="F178" i="8"/>
  <c r="F28" i="8"/>
  <c r="G28" i="8"/>
  <c r="G107" i="8"/>
  <c r="F107" i="8"/>
  <c r="F141" i="8"/>
  <c r="G141" i="8"/>
  <c r="F81" i="8"/>
  <c r="G81" i="8"/>
  <c r="F5" i="8"/>
  <c r="G5" i="8"/>
  <c r="F132" i="8"/>
  <c r="G132" i="8"/>
  <c r="F73" i="8"/>
  <c r="G73" i="8"/>
  <c r="F36" i="8"/>
  <c r="G36" i="8"/>
  <c r="G140" i="8"/>
  <c r="F140" i="8"/>
  <c r="G25" i="8"/>
  <c r="F25" i="8"/>
  <c r="F24" i="8"/>
  <c r="G24" i="8"/>
  <c r="F136" i="8"/>
  <c r="G136" i="8"/>
  <c r="F87" i="8"/>
  <c r="G87" i="8"/>
  <c r="G157" i="8"/>
  <c r="F157" i="8"/>
  <c r="F67" i="8"/>
  <c r="G67" i="8"/>
  <c r="F38" i="8"/>
  <c r="G38" i="8"/>
  <c r="F58" i="8"/>
  <c r="G58" i="8"/>
  <c r="G86" i="8"/>
  <c r="F86" i="8"/>
  <c r="G42" i="8"/>
  <c r="F42" i="8"/>
  <c r="G183" i="8"/>
  <c r="F183" i="8"/>
  <c r="F85" i="8"/>
  <c r="G85" i="8"/>
  <c r="F4" i="8"/>
  <c r="G4" i="8"/>
  <c r="F54" i="8"/>
  <c r="G54" i="8"/>
  <c r="F175" i="8"/>
  <c r="G175" i="8"/>
  <c r="G59" i="8"/>
  <c r="F59" i="8"/>
  <c r="F98" i="8"/>
  <c r="G98" i="8"/>
  <c r="F20" i="8"/>
  <c r="G20" i="8"/>
  <c r="G33" i="8"/>
  <c r="F33" i="8"/>
  <c r="G95" i="8"/>
  <c r="F95" i="8"/>
  <c r="F75" i="8"/>
  <c r="G75" i="8"/>
  <c r="F110" i="8"/>
  <c r="G110" i="8"/>
  <c r="F65" i="8"/>
  <c r="G65" i="8"/>
  <c r="G139" i="8"/>
  <c r="F139" i="8"/>
  <c r="R30" i="13"/>
  <c r="V30" i="13" s="1"/>
  <c r="S30" i="13"/>
  <c r="U30" i="13" s="1"/>
  <c r="S29" i="13"/>
  <c r="U29" i="13" s="1"/>
  <c r="R29" i="13"/>
  <c r="V29" i="13" s="1"/>
  <c r="S35" i="13"/>
  <c r="U35" i="13" s="1"/>
  <c r="R35" i="13"/>
  <c r="V35" i="13" s="1"/>
  <c r="S33" i="13"/>
  <c r="U33" i="13" s="1"/>
  <c r="R33" i="13"/>
  <c r="V33" i="13" s="1"/>
  <c r="AB35" i="12" l="1"/>
  <c r="AB36" i="12"/>
</calcChain>
</file>

<file path=xl/comments1.xml><?xml version="1.0" encoding="utf-8"?>
<comments xmlns="http://schemas.openxmlformats.org/spreadsheetml/2006/main">
  <authors>
    <author>jho</author>
  </authors>
  <commentList>
    <comment ref="C7" authorId="0" shapeId="0">
      <text>
        <r>
          <rPr>
            <b/>
            <sz val="8"/>
            <color indexed="81"/>
            <rFont val="Tahoma"/>
            <family val="2"/>
          </rPr>
          <t>Enter the families names, then click on the 'Create Case Study' button to setup a costings worksheet for each family member.</t>
        </r>
      </text>
    </comment>
    <comment ref="K7" authorId="0" shapeId="0">
      <text>
        <r>
          <rPr>
            <b/>
            <sz val="8"/>
            <color indexed="81"/>
            <rFont val="Tahoma"/>
            <family val="2"/>
          </rPr>
          <t>Summary of cost avoidances for the family entered within this workbook</t>
        </r>
        <r>
          <rPr>
            <sz val="8"/>
            <color indexed="81"/>
            <rFont val="Tahoma"/>
            <family val="2"/>
          </rPr>
          <t xml:space="preserve">
</t>
        </r>
      </text>
    </comment>
    <comment ref="S7" authorId="0" shapeId="0">
      <text>
        <r>
          <rPr>
            <b/>
            <sz val="8"/>
            <color indexed="81"/>
            <rFont val="Tahoma"/>
            <family val="2"/>
          </rPr>
          <t>A separate instance of the Family Savings Calculator for each family that makeup the caseload must be located in the same folder. Spreadsheet title must start with "Negative Outcomes Costing Tool",</t>
        </r>
        <r>
          <rPr>
            <sz val="8"/>
            <color indexed="81"/>
            <rFont val="Tahoma"/>
            <family val="2"/>
          </rPr>
          <t xml:space="preserve">
</t>
        </r>
      </text>
    </comment>
    <comment ref="N9" authorId="0" shapeId="0">
      <text>
        <r>
          <rPr>
            <b/>
            <sz val="8"/>
            <color indexed="81"/>
            <rFont val="Tahoma"/>
            <family val="2"/>
          </rPr>
          <t xml:space="preserve">Total family saving less cost of intervention </t>
        </r>
      </text>
    </comment>
    <comment ref="C32" authorId="0" shapeId="0">
      <text>
        <r>
          <rPr>
            <b/>
            <sz val="8"/>
            <color indexed="81"/>
            <rFont val="Tahoma"/>
            <family val="2"/>
          </rPr>
          <t>Cost of intervention. This field is user changeable by using the 'Delivery Cost' worksheet to calculate an  intervention cost.</t>
        </r>
      </text>
    </comment>
  </commentList>
</comments>
</file>

<file path=xl/comments2.xml><?xml version="1.0" encoding="utf-8"?>
<comments xmlns="http://schemas.openxmlformats.org/spreadsheetml/2006/main">
  <authors>
    <author>jho</author>
    <author>wellingtonm</author>
    <author>greenallc</author>
  </authors>
  <commentList>
    <comment ref="G1" authorId="0" shapeId="0">
      <text>
        <r>
          <rPr>
            <b/>
            <sz val="8"/>
            <color indexed="81"/>
            <rFont val="Tahoma"/>
            <family val="2"/>
          </rPr>
          <t>If post intervention incidents are shown, this total is the actual saving. If post intervention incidents are hidden, this is the total predicted saving.</t>
        </r>
        <r>
          <rPr>
            <sz val="8"/>
            <color indexed="81"/>
            <rFont val="Tahoma"/>
            <family val="2"/>
          </rPr>
          <t xml:space="preserve">
</t>
        </r>
      </text>
    </comment>
    <comment ref="E5" authorId="0" shapeId="0">
      <text>
        <r>
          <rPr>
            <b/>
            <sz val="8"/>
            <color indexed="81"/>
            <rFont val="Tahoma"/>
            <family val="2"/>
          </rPr>
          <t>Enter an amended cost if it differs in your local authority</t>
        </r>
        <r>
          <rPr>
            <sz val="8"/>
            <color indexed="81"/>
            <rFont val="Tahoma"/>
            <family val="2"/>
          </rPr>
          <t xml:space="preserve">
</t>
        </r>
      </text>
    </comment>
    <comment ref="G5" authorId="0" shapeId="0">
      <text>
        <r>
          <rPr>
            <b/>
            <sz val="8"/>
            <color indexed="81"/>
            <rFont val="Tahoma"/>
            <family val="2"/>
          </rPr>
          <t>Percentage difference between pre and post number of incidents calculated from single family.</t>
        </r>
      </text>
    </comment>
    <comment ref="I5" authorId="0" shapeId="0">
      <text>
        <r>
          <rPr>
            <b/>
            <sz val="8"/>
            <color indexed="81"/>
            <rFont val="Tahoma"/>
            <family val="2"/>
          </rPr>
          <t>Number of incidents that have occurred in the past. As a guide use 2 years of past behaviour prior to the intervention.</t>
        </r>
        <r>
          <rPr>
            <sz val="8"/>
            <color indexed="81"/>
            <rFont val="Tahoma"/>
            <family val="2"/>
          </rPr>
          <t xml:space="preserve">
</t>
        </r>
      </text>
    </comment>
    <comment ref="J5" authorId="0" shapeId="0">
      <text>
        <r>
          <rPr>
            <b/>
            <sz val="8"/>
            <color indexed="81"/>
            <rFont val="Tahoma"/>
            <family val="2"/>
          </rPr>
          <t>Estimated cost avoidance</t>
        </r>
        <r>
          <rPr>
            <sz val="8"/>
            <color indexed="81"/>
            <rFont val="Tahoma"/>
            <family val="2"/>
          </rPr>
          <t xml:space="preserve">
</t>
        </r>
      </text>
    </comment>
    <comment ref="L5" authorId="0" shapeId="0">
      <text>
        <r>
          <rPr>
            <b/>
            <sz val="8"/>
            <color indexed="81"/>
            <rFont val="Tahoma"/>
            <family val="2"/>
          </rPr>
          <t>Number of incidents at the completion of an intervention</t>
        </r>
      </text>
    </comment>
    <comment ref="M5" authorId="0" shapeId="0">
      <text>
        <r>
          <rPr>
            <b/>
            <sz val="8"/>
            <color indexed="81"/>
            <rFont val="Tahoma"/>
            <family val="2"/>
          </rPr>
          <t>Difference between pre &amp; post-intervention incidents</t>
        </r>
        <r>
          <rPr>
            <sz val="8"/>
            <color indexed="81"/>
            <rFont val="Tahoma"/>
            <family val="2"/>
          </rPr>
          <t xml:space="preserve">
</t>
        </r>
      </text>
    </comment>
    <comment ref="F8" authorId="1" shapeId="0">
      <text>
        <r>
          <rPr>
            <b/>
            <sz val="8"/>
            <color indexed="81"/>
            <rFont val="Tahoma"/>
            <family val="2"/>
          </rPr>
          <t>wellingtonm:</t>
        </r>
        <r>
          <rPr>
            <sz val="8"/>
            <color indexed="81"/>
            <rFont val="Tahoma"/>
            <family val="2"/>
          </rPr>
          <t xml:space="preserve">
The amount allowed by government for councils to recover from the keeper of a vehicle known to be abandoned is currently £105 for removal, £12.50 a day storage and £50 for disposal. i.e. £330 per vehicle, because vehicles are stored for a minimum of 14 days.</t>
        </r>
      </text>
    </comment>
    <comment ref="A11" authorId="0" shapeId="0">
      <text>
        <r>
          <rPr>
            <b/>
            <sz val="8"/>
            <color indexed="81"/>
            <rFont val="Tahoma"/>
            <family val="2"/>
          </rPr>
          <t>assume 5% of local authority dwellings vandalised per annum</t>
        </r>
        <r>
          <rPr>
            <sz val="8"/>
            <color indexed="81"/>
            <rFont val="Tahoma"/>
            <family val="2"/>
          </rPr>
          <t xml:space="preserve">
</t>
        </r>
      </text>
    </comment>
    <comment ref="F12" authorId="1" shapeId="0">
      <text>
        <r>
          <rPr>
            <b/>
            <sz val="8"/>
            <color indexed="81"/>
            <rFont val="Tahoma"/>
            <family val="2"/>
          </rPr>
          <t>wellingtonm:</t>
        </r>
        <r>
          <rPr>
            <sz val="8"/>
            <color indexed="81"/>
            <rFont val="Tahoma"/>
            <family val="2"/>
          </rPr>
          <t xml:space="preserve">
As quoted in The Economic and Social Costs of Anti-Social Behaviour, Whitehead 200</t>
        </r>
      </text>
    </comment>
    <comment ref="F23" authorId="1" shapeId="0">
      <text>
        <r>
          <rPr>
            <b/>
            <sz val="8"/>
            <color indexed="81"/>
            <rFont val="Tahoma"/>
            <family val="2"/>
          </rPr>
          <t>wellingtonm:</t>
        </r>
        <r>
          <rPr>
            <sz val="8"/>
            <color indexed="81"/>
            <rFont val="Tahoma"/>
            <family val="2"/>
          </rPr>
          <t xml:space="preserve">
The costs comprise of all judicial and administrative costs directly incurred by HMCTS but exclude area and central overheads. This calculation also excludes the costs of other criminal justice agencies/departments being involved at various stages of court proceedings</t>
        </r>
      </text>
    </comment>
    <comment ref="F24" authorId="1" shapeId="0">
      <text>
        <r>
          <rPr>
            <b/>
            <sz val="8"/>
            <color indexed="81"/>
            <rFont val="Tahoma"/>
            <family val="2"/>
          </rPr>
          <t>wellingtonm:</t>
        </r>
        <r>
          <rPr>
            <sz val="8"/>
            <color indexed="81"/>
            <rFont val="Tahoma"/>
            <family val="2"/>
          </rPr>
          <t xml:space="preserve">
The costs comprise of all judicial and administrative costs directly incurred by HMCTS but exclude area and central overheads. This calculation also excludes the costs of other criminal justice agencies/departments being involved at various stages of court proceedings</t>
        </r>
      </text>
    </comment>
    <comment ref="F25" authorId="1" shapeId="0">
      <text>
        <r>
          <rPr>
            <b/>
            <sz val="8"/>
            <color indexed="81"/>
            <rFont val="Tahoma"/>
            <family val="2"/>
          </rPr>
          <t>wellingtonm:</t>
        </r>
        <r>
          <rPr>
            <sz val="8"/>
            <color indexed="81"/>
            <rFont val="Tahoma"/>
            <family val="2"/>
          </rPr>
          <t xml:space="preserve">
£40,378 (from most recent published figures in the 2009-10 NOMS Annual Report &amp; Accounts) divided by 365</t>
        </r>
      </text>
    </comment>
    <comment ref="I25" authorId="2" shapeId="0">
      <text>
        <r>
          <rPr>
            <sz val="8"/>
            <color indexed="81"/>
            <rFont val="Tahoma"/>
            <family val="2"/>
          </rPr>
          <t xml:space="preserve">This refers to the number of prison days related to an </t>
        </r>
        <r>
          <rPr>
            <b/>
            <sz val="8"/>
            <color indexed="81"/>
            <rFont val="Tahoma"/>
            <family val="2"/>
          </rPr>
          <t>incident</t>
        </r>
        <r>
          <rPr>
            <sz val="8"/>
            <color indexed="81"/>
            <rFont val="Tahoma"/>
            <family val="2"/>
          </rPr>
          <t xml:space="preserve"> which fell </t>
        </r>
        <r>
          <rPr>
            <b/>
            <sz val="8"/>
            <color indexed="81"/>
            <rFont val="Tahoma"/>
            <family val="2"/>
          </rPr>
          <t>during the pre-intervention period</t>
        </r>
        <r>
          <rPr>
            <sz val="8"/>
            <color indexed="81"/>
            <rFont val="Tahoma"/>
            <family val="2"/>
          </rPr>
          <t xml:space="preserve">. This does not refer to the number of prison days occurring due to an incident outside the pre-intervention period. </t>
        </r>
      </text>
    </comment>
    <comment ref="L25" authorId="2" shapeId="0">
      <text>
        <r>
          <rPr>
            <sz val="8"/>
            <color indexed="81"/>
            <rFont val="Tahoma"/>
            <family val="2"/>
          </rPr>
          <t xml:space="preserve">This refers to the number of prison days related to an incident which fell during the intervention period. This does not refer to the number of prison days occurring due to an incident outside the intervention period. </t>
        </r>
        <r>
          <rPr>
            <sz val="8"/>
            <color indexed="81"/>
            <rFont val="Tahoma"/>
            <family val="2"/>
          </rPr>
          <t xml:space="preserve">
</t>
        </r>
      </text>
    </comment>
    <comment ref="I28" authorId="2" shapeId="0">
      <text>
        <r>
          <rPr>
            <b/>
            <sz val="8"/>
            <color indexed="81"/>
            <rFont val="Tahoma"/>
            <family val="2"/>
          </rPr>
          <t>Enter number of episodes of truancy.</t>
        </r>
        <r>
          <rPr>
            <sz val="8"/>
            <color indexed="81"/>
            <rFont val="Tahoma"/>
            <family val="2"/>
          </rPr>
          <t xml:space="preserve">
</t>
        </r>
      </text>
    </comment>
    <comment ref="C29" authorId="0" shapeId="0">
      <text>
        <r>
          <rPr>
            <b/>
            <sz val="8"/>
            <color indexed="81"/>
            <rFont val="Tahoma"/>
            <family val="2"/>
          </rPr>
          <t>The earnings gap per
week at age 16 and 17 for
those with no qualifications. This gap is assumed for 21 months.</t>
        </r>
      </text>
    </comment>
    <comment ref="I29" authorId="0" shapeId="0">
      <text>
        <r>
          <rPr>
            <b/>
            <sz val="8"/>
            <color indexed="81"/>
            <rFont val="Tahoma"/>
            <family val="2"/>
          </rPr>
          <t>Number of incidents 1 or 0</t>
        </r>
        <r>
          <rPr>
            <sz val="8"/>
            <color indexed="81"/>
            <rFont val="Tahoma"/>
            <family val="2"/>
          </rPr>
          <t xml:space="preserve">
</t>
        </r>
      </text>
    </comment>
    <comment ref="C30" authorId="0" shapeId="0">
      <text>
        <r>
          <rPr>
            <b/>
            <sz val="8"/>
            <color indexed="81"/>
            <rFont val="Tahoma"/>
            <family val="2"/>
          </rPr>
          <t>The earnings gap per
week at age 18 for
those with no qualifications. This gap is assumed for 9 months.</t>
        </r>
      </text>
    </comment>
    <comment ref="I30" authorId="0" shapeId="0">
      <text>
        <r>
          <rPr>
            <b/>
            <sz val="8"/>
            <color indexed="81"/>
            <rFont val="Tahoma"/>
            <family val="2"/>
          </rPr>
          <t>Number of incidents 1 or 0</t>
        </r>
        <r>
          <rPr>
            <sz val="8"/>
            <color indexed="81"/>
            <rFont val="Tahoma"/>
            <family val="2"/>
          </rPr>
          <t xml:space="preserve">
</t>
        </r>
      </text>
    </comment>
    <comment ref="C31" authorId="0" shapeId="0">
      <text>
        <r>
          <rPr>
            <b/>
            <sz val="8"/>
            <color indexed="81"/>
            <rFont val="Tahoma"/>
            <family val="2"/>
          </rPr>
          <t>The earnings gap per
week at age 18 for
those with no qualifications. This gap is assumed for 9 months.</t>
        </r>
      </text>
    </comment>
    <comment ref="I31" authorId="0" shapeId="0">
      <text>
        <r>
          <rPr>
            <b/>
            <sz val="8"/>
            <color indexed="81"/>
            <rFont val="Tahoma"/>
            <family val="2"/>
          </rPr>
          <t>Number of incidents 1 or 0</t>
        </r>
        <r>
          <rPr>
            <sz val="8"/>
            <color indexed="81"/>
            <rFont val="Tahoma"/>
            <family val="2"/>
          </rPr>
          <t xml:space="preserve">
</t>
        </r>
      </text>
    </comment>
    <comment ref="I32" authorId="2" shapeId="0">
      <text>
        <r>
          <rPr>
            <b/>
            <sz val="8"/>
            <color indexed="81"/>
            <rFont val="Tahoma"/>
            <family val="2"/>
          </rPr>
          <t>Enter number of exclusions.</t>
        </r>
        <r>
          <rPr>
            <sz val="8"/>
            <color indexed="81"/>
            <rFont val="Tahoma"/>
            <family val="2"/>
          </rPr>
          <t xml:space="preserve">
</t>
        </r>
      </text>
    </comment>
    <comment ref="C34" authorId="0" shapeId="0">
      <text>
        <r>
          <rPr>
            <b/>
            <sz val="8"/>
            <color indexed="81"/>
            <rFont val="Tahoma"/>
            <family val="2"/>
          </rPr>
          <t>2 months = 0.17
4 months = 0.33
6 months = 0.5
8 months = 0.67
10 months = 0.83</t>
        </r>
        <r>
          <rPr>
            <sz val="8"/>
            <color indexed="81"/>
            <rFont val="Tahoma"/>
            <family val="2"/>
          </rPr>
          <t xml:space="preserve">
</t>
        </r>
      </text>
    </comment>
    <comment ref="C49" authorId="0" shapeId="0">
      <text>
        <r>
          <rPr>
            <b/>
            <sz val="8"/>
            <color indexed="81"/>
            <rFont val="Tahoma"/>
            <family val="2"/>
          </rPr>
          <t>Issued but not enforced</t>
        </r>
        <r>
          <rPr>
            <sz val="8"/>
            <color indexed="81"/>
            <rFont val="Tahoma"/>
            <family val="2"/>
          </rPr>
          <t xml:space="preserve">
</t>
        </r>
      </text>
    </comment>
    <comment ref="E50" authorId="0" shapeId="0">
      <text>
        <r>
          <rPr>
            <b/>
            <sz val="8"/>
            <color indexed="81"/>
            <rFont val="Tahoma"/>
            <family val="2"/>
          </rPr>
          <t>Enter estimated rent arrears amount here</t>
        </r>
        <r>
          <rPr>
            <sz val="8"/>
            <color indexed="81"/>
            <rFont val="Tahoma"/>
            <family val="2"/>
          </rPr>
          <t xml:space="preserve">
</t>
        </r>
      </text>
    </comment>
    <comment ref="A63" authorId="0" shapeId="0">
      <text>
        <r>
          <rPr>
            <b/>
            <sz val="8"/>
            <color indexed="81"/>
            <rFont val="Tahoma"/>
            <family val="2"/>
          </rPr>
          <t>Community Psychiatric Nurse</t>
        </r>
        <r>
          <rPr>
            <sz val="8"/>
            <color indexed="81"/>
            <rFont val="Tahoma"/>
            <family val="2"/>
          </rPr>
          <t xml:space="preserve">
</t>
        </r>
      </text>
    </comment>
    <comment ref="A73" authorId="0" shapeId="0">
      <text>
        <r>
          <rPr>
            <b/>
            <sz val="8"/>
            <color indexed="81"/>
            <rFont val="Tahoma"/>
            <family val="2"/>
          </rPr>
          <t>For people who misuse drugs/alcohol</t>
        </r>
        <r>
          <rPr>
            <sz val="8"/>
            <color indexed="81"/>
            <rFont val="Tahoma"/>
            <family val="2"/>
          </rPr>
          <t xml:space="preserve">
</t>
        </r>
      </text>
    </comment>
    <comment ref="A74" authorId="0" shapeId="0">
      <text>
        <r>
          <rPr>
            <b/>
            <sz val="8"/>
            <color indexed="81"/>
            <rFont val="Tahoma"/>
            <family val="2"/>
          </rPr>
          <t>For people who misuse drugs/alcohol</t>
        </r>
        <r>
          <rPr>
            <sz val="8"/>
            <color indexed="81"/>
            <rFont val="Tahoma"/>
            <family val="2"/>
          </rPr>
          <t xml:space="preserve">
</t>
        </r>
      </text>
    </comment>
    <comment ref="A87" authorId="0" shapeId="0">
      <text>
        <r>
          <rPr>
            <b/>
            <sz val="8"/>
            <color indexed="81"/>
            <rFont val="Tahoma"/>
            <family val="2"/>
          </rPr>
          <t>Includes:
Care planning, maintaining the placement, review, legal and transition to leaving care</t>
        </r>
        <r>
          <rPr>
            <sz val="8"/>
            <color indexed="81"/>
            <rFont val="Tahoma"/>
            <family val="2"/>
          </rPr>
          <t xml:space="preserve">
</t>
        </r>
      </text>
    </comment>
    <comment ref="C89" authorId="0" shapeId="0">
      <text>
        <r>
          <rPr>
            <b/>
            <sz val="8"/>
            <color indexed="81"/>
            <rFont val="Tahoma"/>
            <family val="2"/>
          </rPr>
          <t xml:space="preserve">Includes:
</t>
        </r>
        <r>
          <rPr>
            <sz val="8"/>
            <color indexed="81"/>
            <rFont val="Tahoma"/>
            <family val="2"/>
          </rPr>
          <t>Initial contact and referral
Initial assessment
Ongoing support (per month)
Core assessment
Child protection case conference review
Section 47 Enquiry including strategy meeting
Close case</t>
        </r>
      </text>
    </comment>
    <comment ref="C91" authorId="0" shapeId="0">
      <text>
        <r>
          <rPr>
            <b/>
            <sz val="8"/>
            <color indexed="81"/>
            <rFont val="Tahoma"/>
            <family val="2"/>
          </rPr>
          <t>Cost per family</t>
        </r>
        <r>
          <rPr>
            <sz val="8"/>
            <color indexed="81"/>
            <rFont val="Tahoma"/>
            <family val="2"/>
          </rPr>
          <t xml:space="preserve">
</t>
        </r>
      </text>
    </comment>
    <comment ref="C92" authorId="0" shapeId="0">
      <text>
        <r>
          <rPr>
            <b/>
            <sz val="8"/>
            <color indexed="81"/>
            <rFont val="Tahoma"/>
            <family val="2"/>
          </rPr>
          <t>Cost per parent</t>
        </r>
        <r>
          <rPr>
            <sz val="8"/>
            <color indexed="81"/>
            <rFont val="Tahoma"/>
            <family val="2"/>
          </rPr>
          <t xml:space="preserve">
</t>
        </r>
      </text>
    </comment>
    <comment ref="C93" authorId="0" shapeId="0">
      <text>
        <r>
          <rPr>
            <b/>
            <sz val="8"/>
            <color indexed="81"/>
            <rFont val="Tahoma"/>
            <family val="2"/>
          </rPr>
          <t>Cost per family</t>
        </r>
        <r>
          <rPr>
            <sz val="8"/>
            <color indexed="81"/>
            <rFont val="Tahoma"/>
            <family val="2"/>
          </rPr>
          <t xml:space="preserve">
</t>
        </r>
      </text>
    </comment>
    <comment ref="C94" authorId="0" shapeId="0">
      <text>
        <r>
          <rPr>
            <b/>
            <sz val="8"/>
            <color indexed="81"/>
            <rFont val="Tahoma"/>
            <family val="2"/>
          </rPr>
          <t>Cost per family</t>
        </r>
        <r>
          <rPr>
            <sz val="8"/>
            <color indexed="81"/>
            <rFont val="Tahoma"/>
            <family val="2"/>
          </rPr>
          <t xml:space="preserve">
</t>
        </r>
      </text>
    </comment>
    <comment ref="A96" authorId="0" shapeId="0">
      <text>
        <r>
          <rPr>
            <b/>
            <sz val="10"/>
            <color indexed="81"/>
            <rFont val="Tahoma"/>
            <family val="2"/>
          </rPr>
          <t xml:space="preserve">Use this section to enter negative outcomes that have not been addressed above.
If extra costs are not </t>
        </r>
        <r>
          <rPr>
            <b/>
            <u/>
            <sz val="10"/>
            <color indexed="81"/>
            <rFont val="Tahoma"/>
            <family val="2"/>
          </rPr>
          <t>linked to an organisation</t>
        </r>
        <r>
          <rPr>
            <b/>
            <sz val="10"/>
            <color indexed="81"/>
            <rFont val="Tahoma"/>
            <family val="2"/>
          </rPr>
          <t xml:space="preserve"> they won't be counted.</t>
        </r>
      </text>
    </comment>
    <comment ref="E96" authorId="1" shapeId="0">
      <text>
        <r>
          <rPr>
            <b/>
            <sz val="10"/>
            <color indexed="81"/>
            <rFont val="Tahoma"/>
            <family val="2"/>
          </rPr>
          <t>Include type of cost</t>
        </r>
      </text>
    </comment>
    <comment ref="G96" authorId="0" shapeId="0">
      <text>
        <r>
          <rPr>
            <b/>
            <sz val="8"/>
            <color indexed="81"/>
            <rFont val="Tahoma"/>
            <family val="2"/>
          </rPr>
          <t>Percentage difference between pre and post number of incidents calculated from single family.</t>
        </r>
      </text>
    </comment>
    <comment ref="I96" authorId="0" shapeId="0">
      <text>
        <r>
          <rPr>
            <b/>
            <sz val="8"/>
            <color indexed="81"/>
            <rFont val="Tahoma"/>
            <family val="2"/>
          </rPr>
          <t>Number of incidents that have occurred in the past. As a guide use 2 years of past behaviour prior to the intervention.</t>
        </r>
        <r>
          <rPr>
            <sz val="8"/>
            <color indexed="81"/>
            <rFont val="Tahoma"/>
            <family val="2"/>
          </rPr>
          <t xml:space="preserve">
</t>
        </r>
      </text>
    </comment>
    <comment ref="J96" authorId="0" shapeId="0">
      <text>
        <r>
          <rPr>
            <b/>
            <sz val="8"/>
            <color indexed="81"/>
            <rFont val="Tahoma"/>
            <family val="2"/>
          </rPr>
          <t>Estimated cost avoidance</t>
        </r>
        <r>
          <rPr>
            <sz val="8"/>
            <color indexed="81"/>
            <rFont val="Tahoma"/>
            <family val="2"/>
          </rPr>
          <t xml:space="preserve">
</t>
        </r>
      </text>
    </comment>
    <comment ref="L96" authorId="0" shapeId="0">
      <text>
        <r>
          <rPr>
            <b/>
            <sz val="8"/>
            <color indexed="81"/>
            <rFont val="Tahoma"/>
            <family val="2"/>
          </rPr>
          <t>Number of incidents at the completion of an intervention</t>
        </r>
      </text>
    </comment>
    <comment ref="M96" authorId="0" shapeId="0">
      <text>
        <r>
          <rPr>
            <b/>
            <sz val="8"/>
            <color indexed="81"/>
            <rFont val="Tahoma"/>
            <family val="2"/>
          </rPr>
          <t>Difference between pre &amp; post-intervention incidents</t>
        </r>
        <r>
          <rPr>
            <sz val="8"/>
            <color indexed="81"/>
            <rFont val="Tahoma"/>
            <family val="2"/>
          </rPr>
          <t xml:space="preserve">
</t>
        </r>
      </text>
    </comment>
    <comment ref="N96" authorId="1" shapeId="0">
      <text>
        <r>
          <rPr>
            <b/>
            <sz val="10"/>
            <color indexed="81"/>
            <rFont val="Tahoma"/>
            <family val="2"/>
          </rPr>
          <t>Include source of unit cost</t>
        </r>
      </text>
    </comment>
  </commentList>
</comments>
</file>

<file path=xl/comments3.xml><?xml version="1.0" encoding="utf-8"?>
<comments xmlns="http://schemas.openxmlformats.org/spreadsheetml/2006/main">
  <authors>
    <author>jho</author>
  </authors>
  <commentList>
    <comment ref="S32" authorId="0" shapeId="0">
      <text>
        <r>
          <rPr>
            <b/>
            <sz val="8"/>
            <color indexed="81"/>
            <rFont val="Tahoma"/>
            <family val="2"/>
          </rPr>
          <t>Year to start the projection from</t>
        </r>
        <r>
          <rPr>
            <sz val="8"/>
            <color indexed="81"/>
            <rFont val="Tahoma"/>
            <family val="2"/>
          </rPr>
          <t xml:space="preserve">
</t>
        </r>
      </text>
    </comment>
    <comment ref="S33" authorId="0" shapeId="0">
      <text>
        <r>
          <rPr>
            <b/>
            <sz val="8"/>
            <color indexed="81"/>
            <rFont val="Tahoma"/>
            <family val="2"/>
          </rPr>
          <t>Number of years the projection should go for</t>
        </r>
        <r>
          <rPr>
            <sz val="8"/>
            <color indexed="81"/>
            <rFont val="Tahoma"/>
            <family val="2"/>
          </rPr>
          <t xml:space="preserve">
</t>
        </r>
      </text>
    </comment>
  </commentList>
</comments>
</file>

<file path=xl/comments4.xml><?xml version="1.0" encoding="utf-8"?>
<comments xmlns="http://schemas.openxmlformats.org/spreadsheetml/2006/main">
  <authors>
    <author>jho</author>
    <author>wellingtonm</author>
    <author>greenallc</author>
  </authors>
  <commentList>
    <comment ref="G1" authorId="0" shapeId="0">
      <text>
        <r>
          <rPr>
            <b/>
            <sz val="8"/>
            <color indexed="81"/>
            <rFont val="Tahoma"/>
            <family val="2"/>
          </rPr>
          <t>If post intervention incidents are shown, this total is the actual saving. If post intervention incidents are hidden, this is the total predicted saving.</t>
        </r>
        <r>
          <rPr>
            <sz val="8"/>
            <color indexed="81"/>
            <rFont val="Tahoma"/>
            <family val="2"/>
          </rPr>
          <t xml:space="preserve">
</t>
        </r>
      </text>
    </comment>
    <comment ref="E5" authorId="0" shapeId="0">
      <text>
        <r>
          <rPr>
            <b/>
            <sz val="8"/>
            <color indexed="81"/>
            <rFont val="Tahoma"/>
            <family val="2"/>
          </rPr>
          <t>Enter an amended cost if it differs in your local authority</t>
        </r>
        <r>
          <rPr>
            <sz val="8"/>
            <color indexed="81"/>
            <rFont val="Tahoma"/>
            <family val="2"/>
          </rPr>
          <t xml:space="preserve">
</t>
        </r>
      </text>
    </comment>
    <comment ref="G5" authorId="0" shapeId="0">
      <text>
        <r>
          <rPr>
            <b/>
            <sz val="8"/>
            <color indexed="81"/>
            <rFont val="Tahoma"/>
            <family val="2"/>
          </rPr>
          <t>Percentage difference between pre and post number of incidents calculated from single family.</t>
        </r>
      </text>
    </comment>
    <comment ref="I5" authorId="0" shapeId="0">
      <text>
        <r>
          <rPr>
            <b/>
            <sz val="8"/>
            <color indexed="81"/>
            <rFont val="Tahoma"/>
            <family val="2"/>
          </rPr>
          <t>Number of incidents that have occurred in the past. As a guide use 2 years of past behaviour prior to the intervention.</t>
        </r>
        <r>
          <rPr>
            <sz val="8"/>
            <color indexed="81"/>
            <rFont val="Tahoma"/>
            <family val="2"/>
          </rPr>
          <t xml:space="preserve">
</t>
        </r>
      </text>
    </comment>
    <comment ref="J5" authorId="0" shapeId="0">
      <text>
        <r>
          <rPr>
            <b/>
            <sz val="8"/>
            <color indexed="81"/>
            <rFont val="Tahoma"/>
            <family val="2"/>
          </rPr>
          <t>Estimated cost avoidance</t>
        </r>
        <r>
          <rPr>
            <sz val="8"/>
            <color indexed="81"/>
            <rFont val="Tahoma"/>
            <family val="2"/>
          </rPr>
          <t xml:space="preserve">
</t>
        </r>
      </text>
    </comment>
    <comment ref="L5" authorId="0" shapeId="0">
      <text>
        <r>
          <rPr>
            <b/>
            <sz val="8"/>
            <color indexed="81"/>
            <rFont val="Tahoma"/>
            <family val="2"/>
          </rPr>
          <t>Number of incidents at the completion of an intervention</t>
        </r>
      </text>
    </comment>
    <comment ref="M5" authorId="0" shapeId="0">
      <text>
        <r>
          <rPr>
            <b/>
            <sz val="8"/>
            <color indexed="81"/>
            <rFont val="Tahoma"/>
            <family val="2"/>
          </rPr>
          <t>Difference between pre &amp; post-intervention incidents</t>
        </r>
        <r>
          <rPr>
            <sz val="8"/>
            <color indexed="81"/>
            <rFont val="Tahoma"/>
            <family val="2"/>
          </rPr>
          <t xml:space="preserve">
</t>
        </r>
      </text>
    </comment>
    <comment ref="F8" authorId="1" shapeId="0">
      <text>
        <r>
          <rPr>
            <b/>
            <sz val="8"/>
            <color indexed="81"/>
            <rFont val="Tahoma"/>
            <family val="2"/>
          </rPr>
          <t>wellingtonm:</t>
        </r>
        <r>
          <rPr>
            <sz val="8"/>
            <color indexed="81"/>
            <rFont val="Tahoma"/>
            <family val="2"/>
          </rPr>
          <t xml:space="preserve">
The amount allowed by government for councils to recover from the keeper of a vehicle known to be abandoned is currently £105 for removal, £12.50 a day storage and £50 for disposal. i.e. £330 per vehicle, because vehicles are stored for a minimum of 14 days.</t>
        </r>
      </text>
    </comment>
    <comment ref="A11" authorId="0" shapeId="0">
      <text>
        <r>
          <rPr>
            <b/>
            <sz val="8"/>
            <color indexed="81"/>
            <rFont val="Tahoma"/>
            <family val="2"/>
          </rPr>
          <t>assume 5% of local authority dwellings vandalised per annum</t>
        </r>
        <r>
          <rPr>
            <sz val="8"/>
            <color indexed="81"/>
            <rFont val="Tahoma"/>
            <family val="2"/>
          </rPr>
          <t xml:space="preserve">
</t>
        </r>
      </text>
    </comment>
    <comment ref="F12" authorId="1" shapeId="0">
      <text>
        <r>
          <rPr>
            <b/>
            <sz val="8"/>
            <color indexed="81"/>
            <rFont val="Tahoma"/>
            <family val="2"/>
          </rPr>
          <t>wellingtonm:</t>
        </r>
        <r>
          <rPr>
            <sz val="8"/>
            <color indexed="81"/>
            <rFont val="Tahoma"/>
            <family val="2"/>
          </rPr>
          <t xml:space="preserve">
As quoted in The Economic and Social Costs of Anti-Social Behaviour, Whitehead 200</t>
        </r>
      </text>
    </comment>
    <comment ref="F23" authorId="1" shapeId="0">
      <text>
        <r>
          <rPr>
            <b/>
            <sz val="8"/>
            <color indexed="81"/>
            <rFont val="Tahoma"/>
            <family val="2"/>
          </rPr>
          <t>wellingtonm:</t>
        </r>
        <r>
          <rPr>
            <sz val="8"/>
            <color indexed="81"/>
            <rFont val="Tahoma"/>
            <family val="2"/>
          </rPr>
          <t xml:space="preserve">
The costs comprise of all judicial and administrative costs directly incurred by HMCTS but exclude area and central overheads. This calculation also excludes the costs of other criminal justice agencies/departments being involved at various stages of court proceedings</t>
        </r>
      </text>
    </comment>
    <comment ref="F24" authorId="1" shapeId="0">
      <text>
        <r>
          <rPr>
            <b/>
            <sz val="8"/>
            <color indexed="81"/>
            <rFont val="Tahoma"/>
            <family val="2"/>
          </rPr>
          <t>wellingtonm:</t>
        </r>
        <r>
          <rPr>
            <sz val="8"/>
            <color indexed="81"/>
            <rFont val="Tahoma"/>
            <family val="2"/>
          </rPr>
          <t xml:space="preserve">
The costs comprise of all judicial and administrative costs directly incurred by HMCTS but exclude area and central overheads. This calculation also excludes the costs of other criminal justice agencies/departments being involved at various stages of court proceedings</t>
        </r>
      </text>
    </comment>
    <comment ref="F25" authorId="1" shapeId="0">
      <text>
        <r>
          <rPr>
            <b/>
            <sz val="8"/>
            <color indexed="81"/>
            <rFont val="Tahoma"/>
            <family val="2"/>
          </rPr>
          <t>wellingtonm:</t>
        </r>
        <r>
          <rPr>
            <sz val="8"/>
            <color indexed="81"/>
            <rFont val="Tahoma"/>
            <family val="2"/>
          </rPr>
          <t xml:space="preserve">
£40,378 (from most recent published figures in the 2009-10 NOMS Annual Report &amp; Accounts) divided by 365</t>
        </r>
      </text>
    </comment>
    <comment ref="I25" authorId="2" shapeId="0">
      <text>
        <r>
          <rPr>
            <sz val="8"/>
            <color indexed="81"/>
            <rFont val="Tahoma"/>
            <family val="2"/>
          </rPr>
          <t xml:space="preserve">This refers to the number of prison days related to an </t>
        </r>
        <r>
          <rPr>
            <b/>
            <sz val="8"/>
            <color indexed="81"/>
            <rFont val="Tahoma"/>
            <family val="2"/>
          </rPr>
          <t>incident</t>
        </r>
        <r>
          <rPr>
            <sz val="8"/>
            <color indexed="81"/>
            <rFont val="Tahoma"/>
            <family val="2"/>
          </rPr>
          <t xml:space="preserve"> which fell </t>
        </r>
        <r>
          <rPr>
            <b/>
            <sz val="8"/>
            <color indexed="81"/>
            <rFont val="Tahoma"/>
            <family val="2"/>
          </rPr>
          <t>during the pre-intervention period</t>
        </r>
        <r>
          <rPr>
            <sz val="8"/>
            <color indexed="81"/>
            <rFont val="Tahoma"/>
            <family val="2"/>
          </rPr>
          <t xml:space="preserve">. This does not refer to the number of prison days occurring due to an incident outside the pre-intervention period. </t>
        </r>
      </text>
    </comment>
    <comment ref="L25" authorId="2" shapeId="0">
      <text>
        <r>
          <rPr>
            <sz val="8"/>
            <color indexed="81"/>
            <rFont val="Tahoma"/>
            <family val="2"/>
          </rPr>
          <t xml:space="preserve">This refers to the number of prison days related to an incident which fell during the intervention period. This does not refer to the number of prison days occurring due to an incident outside the intervention period. </t>
        </r>
        <r>
          <rPr>
            <sz val="8"/>
            <color indexed="81"/>
            <rFont val="Tahoma"/>
            <family val="2"/>
          </rPr>
          <t xml:space="preserve">
</t>
        </r>
      </text>
    </comment>
    <comment ref="I28" authorId="2" shapeId="0">
      <text>
        <r>
          <rPr>
            <b/>
            <sz val="8"/>
            <color indexed="81"/>
            <rFont val="Tahoma"/>
            <family val="2"/>
          </rPr>
          <t>Enter number of episodes of truancy.</t>
        </r>
        <r>
          <rPr>
            <sz val="8"/>
            <color indexed="81"/>
            <rFont val="Tahoma"/>
            <family val="2"/>
          </rPr>
          <t xml:space="preserve">
</t>
        </r>
      </text>
    </comment>
    <comment ref="C29" authorId="0" shapeId="0">
      <text>
        <r>
          <rPr>
            <b/>
            <sz val="8"/>
            <color indexed="81"/>
            <rFont val="Tahoma"/>
            <family val="2"/>
          </rPr>
          <t>The earnings gap per
week at age 16 and 17 for
those with no qualifications. This gap is assumed for 21 months.</t>
        </r>
      </text>
    </comment>
    <comment ref="I29" authorId="0" shapeId="0">
      <text>
        <r>
          <rPr>
            <b/>
            <sz val="8"/>
            <color indexed="81"/>
            <rFont val="Tahoma"/>
            <family val="2"/>
          </rPr>
          <t>Number of incidents 1 or 0</t>
        </r>
        <r>
          <rPr>
            <sz val="8"/>
            <color indexed="81"/>
            <rFont val="Tahoma"/>
            <family val="2"/>
          </rPr>
          <t xml:space="preserve">
</t>
        </r>
      </text>
    </comment>
    <comment ref="C30" authorId="0" shapeId="0">
      <text>
        <r>
          <rPr>
            <b/>
            <sz val="8"/>
            <color indexed="81"/>
            <rFont val="Tahoma"/>
            <family val="2"/>
          </rPr>
          <t>The earnings gap per
week at age 18 for
those with no qualifications. This gap is assumed for 9 months.</t>
        </r>
      </text>
    </comment>
    <comment ref="I30" authorId="0" shapeId="0">
      <text>
        <r>
          <rPr>
            <b/>
            <sz val="8"/>
            <color indexed="81"/>
            <rFont val="Tahoma"/>
            <family val="2"/>
          </rPr>
          <t>Number of incidents 1 or 0</t>
        </r>
        <r>
          <rPr>
            <sz val="8"/>
            <color indexed="81"/>
            <rFont val="Tahoma"/>
            <family val="2"/>
          </rPr>
          <t xml:space="preserve">
</t>
        </r>
      </text>
    </comment>
    <comment ref="C31" authorId="0" shapeId="0">
      <text>
        <r>
          <rPr>
            <b/>
            <sz val="8"/>
            <color indexed="81"/>
            <rFont val="Tahoma"/>
            <family val="2"/>
          </rPr>
          <t>The earnings gap per
week at age 18 for
those with no qualifications. This gap is assumed for 9 months.</t>
        </r>
      </text>
    </comment>
    <comment ref="I31" authorId="0" shapeId="0">
      <text>
        <r>
          <rPr>
            <b/>
            <sz val="8"/>
            <color indexed="81"/>
            <rFont val="Tahoma"/>
            <family val="2"/>
          </rPr>
          <t>Number of incidents 1 or 0</t>
        </r>
        <r>
          <rPr>
            <sz val="8"/>
            <color indexed="81"/>
            <rFont val="Tahoma"/>
            <family val="2"/>
          </rPr>
          <t xml:space="preserve">
</t>
        </r>
      </text>
    </comment>
    <comment ref="I32" authorId="2" shapeId="0">
      <text>
        <r>
          <rPr>
            <b/>
            <sz val="8"/>
            <color indexed="81"/>
            <rFont val="Tahoma"/>
            <family val="2"/>
          </rPr>
          <t>Enter number of exclusions.</t>
        </r>
        <r>
          <rPr>
            <sz val="8"/>
            <color indexed="81"/>
            <rFont val="Tahoma"/>
            <family val="2"/>
          </rPr>
          <t xml:space="preserve">
</t>
        </r>
      </text>
    </comment>
    <comment ref="C34" authorId="0" shapeId="0">
      <text>
        <r>
          <rPr>
            <b/>
            <sz val="8"/>
            <color indexed="81"/>
            <rFont val="Tahoma"/>
            <family val="2"/>
          </rPr>
          <t>2 months = 0.17
4 months = 0.33
6 months = 0.5
8 months = 0.67
10 months = 0.83</t>
        </r>
        <r>
          <rPr>
            <sz val="8"/>
            <color indexed="81"/>
            <rFont val="Tahoma"/>
            <family val="2"/>
          </rPr>
          <t xml:space="preserve">
</t>
        </r>
      </text>
    </comment>
    <comment ref="C49" authorId="0" shapeId="0">
      <text>
        <r>
          <rPr>
            <b/>
            <sz val="8"/>
            <color indexed="81"/>
            <rFont val="Tahoma"/>
            <family val="2"/>
          </rPr>
          <t>Issued but not enforced</t>
        </r>
        <r>
          <rPr>
            <sz val="8"/>
            <color indexed="81"/>
            <rFont val="Tahoma"/>
            <family val="2"/>
          </rPr>
          <t xml:space="preserve">
</t>
        </r>
      </text>
    </comment>
    <comment ref="E50" authorId="0" shapeId="0">
      <text>
        <r>
          <rPr>
            <b/>
            <sz val="8"/>
            <color indexed="81"/>
            <rFont val="Tahoma"/>
            <family val="2"/>
          </rPr>
          <t>Enter estimated rent arrears amount here</t>
        </r>
        <r>
          <rPr>
            <sz val="8"/>
            <color indexed="81"/>
            <rFont val="Tahoma"/>
            <family val="2"/>
          </rPr>
          <t xml:space="preserve">
</t>
        </r>
      </text>
    </comment>
    <comment ref="A63" authorId="0" shapeId="0">
      <text>
        <r>
          <rPr>
            <b/>
            <sz val="8"/>
            <color indexed="81"/>
            <rFont val="Tahoma"/>
            <family val="2"/>
          </rPr>
          <t>Community Psychiatric Nurse</t>
        </r>
        <r>
          <rPr>
            <sz val="8"/>
            <color indexed="81"/>
            <rFont val="Tahoma"/>
            <family val="2"/>
          </rPr>
          <t xml:space="preserve">
</t>
        </r>
      </text>
    </comment>
    <comment ref="A73" authorId="0" shapeId="0">
      <text>
        <r>
          <rPr>
            <b/>
            <sz val="8"/>
            <color indexed="81"/>
            <rFont val="Tahoma"/>
            <family val="2"/>
          </rPr>
          <t>For people who misuse drugs/alcohol</t>
        </r>
        <r>
          <rPr>
            <sz val="8"/>
            <color indexed="81"/>
            <rFont val="Tahoma"/>
            <family val="2"/>
          </rPr>
          <t xml:space="preserve">
</t>
        </r>
      </text>
    </comment>
    <comment ref="A74" authorId="0" shapeId="0">
      <text>
        <r>
          <rPr>
            <b/>
            <sz val="8"/>
            <color indexed="81"/>
            <rFont val="Tahoma"/>
            <family val="2"/>
          </rPr>
          <t>For people who misuse drugs/alcohol</t>
        </r>
        <r>
          <rPr>
            <sz val="8"/>
            <color indexed="81"/>
            <rFont val="Tahoma"/>
            <family val="2"/>
          </rPr>
          <t xml:space="preserve">
</t>
        </r>
      </text>
    </comment>
    <comment ref="A87" authorId="0" shapeId="0">
      <text>
        <r>
          <rPr>
            <b/>
            <sz val="8"/>
            <color indexed="81"/>
            <rFont val="Tahoma"/>
            <family val="2"/>
          </rPr>
          <t>Includes:
Care planning, maintaining the placement, review, legal and transition to leaving care</t>
        </r>
        <r>
          <rPr>
            <sz val="8"/>
            <color indexed="81"/>
            <rFont val="Tahoma"/>
            <family val="2"/>
          </rPr>
          <t xml:space="preserve">
</t>
        </r>
      </text>
    </comment>
    <comment ref="C89" authorId="0" shapeId="0">
      <text>
        <r>
          <rPr>
            <b/>
            <sz val="8"/>
            <color indexed="81"/>
            <rFont val="Tahoma"/>
            <family val="2"/>
          </rPr>
          <t xml:space="preserve">Includes:
</t>
        </r>
        <r>
          <rPr>
            <sz val="8"/>
            <color indexed="81"/>
            <rFont val="Tahoma"/>
            <family val="2"/>
          </rPr>
          <t>Initial contact and referral
Initial assessment
Ongoing support (per month)
Core assessment
Child protection case conference review
Section 47 Enquiry including strategy meeting
Close case</t>
        </r>
      </text>
    </comment>
    <comment ref="C91" authorId="0" shapeId="0">
      <text>
        <r>
          <rPr>
            <b/>
            <sz val="8"/>
            <color indexed="81"/>
            <rFont val="Tahoma"/>
            <family val="2"/>
          </rPr>
          <t>Cost per family</t>
        </r>
        <r>
          <rPr>
            <sz val="8"/>
            <color indexed="81"/>
            <rFont val="Tahoma"/>
            <family val="2"/>
          </rPr>
          <t xml:space="preserve">
</t>
        </r>
      </text>
    </comment>
    <comment ref="C92" authorId="0" shapeId="0">
      <text>
        <r>
          <rPr>
            <b/>
            <sz val="8"/>
            <color indexed="81"/>
            <rFont val="Tahoma"/>
            <family val="2"/>
          </rPr>
          <t>Cost per parent</t>
        </r>
        <r>
          <rPr>
            <sz val="8"/>
            <color indexed="81"/>
            <rFont val="Tahoma"/>
            <family val="2"/>
          </rPr>
          <t xml:space="preserve">
</t>
        </r>
      </text>
    </comment>
    <comment ref="C93" authorId="0" shapeId="0">
      <text>
        <r>
          <rPr>
            <b/>
            <sz val="8"/>
            <color indexed="81"/>
            <rFont val="Tahoma"/>
            <family val="2"/>
          </rPr>
          <t>Cost per family</t>
        </r>
        <r>
          <rPr>
            <sz val="8"/>
            <color indexed="81"/>
            <rFont val="Tahoma"/>
            <family val="2"/>
          </rPr>
          <t xml:space="preserve">
</t>
        </r>
      </text>
    </comment>
    <comment ref="C94" authorId="0" shapeId="0">
      <text>
        <r>
          <rPr>
            <b/>
            <sz val="8"/>
            <color indexed="81"/>
            <rFont val="Tahoma"/>
            <family val="2"/>
          </rPr>
          <t>Cost per family</t>
        </r>
        <r>
          <rPr>
            <sz val="8"/>
            <color indexed="81"/>
            <rFont val="Tahoma"/>
            <family val="2"/>
          </rPr>
          <t xml:space="preserve">
</t>
        </r>
      </text>
    </comment>
    <comment ref="A96" authorId="0" shapeId="0">
      <text>
        <r>
          <rPr>
            <b/>
            <sz val="10"/>
            <color indexed="81"/>
            <rFont val="Tahoma"/>
            <family val="2"/>
          </rPr>
          <t xml:space="preserve">Use this section to enter negative outcomes that have not been addressed above.
If extra costs are not </t>
        </r>
        <r>
          <rPr>
            <b/>
            <u/>
            <sz val="10"/>
            <color indexed="81"/>
            <rFont val="Tahoma"/>
            <family val="2"/>
          </rPr>
          <t>linked to an organisation</t>
        </r>
        <r>
          <rPr>
            <b/>
            <sz val="10"/>
            <color indexed="81"/>
            <rFont val="Tahoma"/>
            <family val="2"/>
          </rPr>
          <t xml:space="preserve"> they won't be counted.</t>
        </r>
      </text>
    </comment>
    <comment ref="E96" authorId="1" shapeId="0">
      <text>
        <r>
          <rPr>
            <b/>
            <sz val="10"/>
            <color indexed="81"/>
            <rFont val="Tahoma"/>
            <family val="2"/>
          </rPr>
          <t>Include type of cost</t>
        </r>
      </text>
    </comment>
    <comment ref="G96" authorId="0" shapeId="0">
      <text>
        <r>
          <rPr>
            <b/>
            <sz val="8"/>
            <color indexed="81"/>
            <rFont val="Tahoma"/>
            <family val="2"/>
          </rPr>
          <t>Percentage difference between pre and post number of incidents calculated from single family.</t>
        </r>
      </text>
    </comment>
    <comment ref="I96" authorId="0" shapeId="0">
      <text>
        <r>
          <rPr>
            <b/>
            <sz val="8"/>
            <color indexed="81"/>
            <rFont val="Tahoma"/>
            <family val="2"/>
          </rPr>
          <t>Number of incidents that have occurred in the past. As a guide use 2 years of past behaviour prior to the intervention.</t>
        </r>
        <r>
          <rPr>
            <sz val="8"/>
            <color indexed="81"/>
            <rFont val="Tahoma"/>
            <family val="2"/>
          </rPr>
          <t xml:space="preserve">
</t>
        </r>
      </text>
    </comment>
    <comment ref="J96" authorId="0" shapeId="0">
      <text>
        <r>
          <rPr>
            <b/>
            <sz val="8"/>
            <color indexed="81"/>
            <rFont val="Tahoma"/>
            <family val="2"/>
          </rPr>
          <t>Estimated cost avoidance</t>
        </r>
        <r>
          <rPr>
            <sz val="8"/>
            <color indexed="81"/>
            <rFont val="Tahoma"/>
            <family val="2"/>
          </rPr>
          <t xml:space="preserve">
</t>
        </r>
      </text>
    </comment>
    <comment ref="L96" authorId="0" shapeId="0">
      <text>
        <r>
          <rPr>
            <b/>
            <sz val="8"/>
            <color indexed="81"/>
            <rFont val="Tahoma"/>
            <family val="2"/>
          </rPr>
          <t>Number of incidents at the completion of an intervention</t>
        </r>
      </text>
    </comment>
    <comment ref="M96" authorId="0" shapeId="0">
      <text>
        <r>
          <rPr>
            <b/>
            <sz val="8"/>
            <color indexed="81"/>
            <rFont val="Tahoma"/>
            <family val="2"/>
          </rPr>
          <t>Difference between pre &amp; post-intervention incidents</t>
        </r>
        <r>
          <rPr>
            <sz val="8"/>
            <color indexed="81"/>
            <rFont val="Tahoma"/>
            <family val="2"/>
          </rPr>
          <t xml:space="preserve">
</t>
        </r>
      </text>
    </comment>
    <comment ref="N96" authorId="1" shapeId="0">
      <text>
        <r>
          <rPr>
            <b/>
            <sz val="10"/>
            <color indexed="81"/>
            <rFont val="Tahoma"/>
            <family val="2"/>
          </rPr>
          <t>Include source of unit cost</t>
        </r>
      </text>
    </comment>
  </commentList>
</comments>
</file>

<file path=xl/comments5.xml><?xml version="1.0" encoding="utf-8"?>
<comments xmlns="http://schemas.openxmlformats.org/spreadsheetml/2006/main">
  <authors>
    <author>jho</author>
    <author>wellingtonm</author>
    <author>greenallc</author>
  </authors>
  <commentList>
    <comment ref="G1" authorId="0" shapeId="0">
      <text>
        <r>
          <rPr>
            <b/>
            <sz val="8"/>
            <color indexed="81"/>
            <rFont val="Tahoma"/>
            <family val="2"/>
          </rPr>
          <t>If post intervention incidents are shown, this total is the actual saving. If post intervention incidents are hidden, this is the total predicted saving.</t>
        </r>
        <r>
          <rPr>
            <sz val="8"/>
            <color indexed="81"/>
            <rFont val="Tahoma"/>
            <family val="2"/>
          </rPr>
          <t xml:space="preserve">
</t>
        </r>
      </text>
    </comment>
    <comment ref="E5" authorId="0" shapeId="0">
      <text>
        <r>
          <rPr>
            <b/>
            <sz val="8"/>
            <color indexed="81"/>
            <rFont val="Tahoma"/>
            <family val="2"/>
          </rPr>
          <t>Enter an amended cost if it differs in your local authority</t>
        </r>
        <r>
          <rPr>
            <sz val="8"/>
            <color indexed="81"/>
            <rFont val="Tahoma"/>
            <family val="2"/>
          </rPr>
          <t xml:space="preserve">
</t>
        </r>
      </text>
    </comment>
    <comment ref="G5" authorId="0" shapeId="0">
      <text>
        <r>
          <rPr>
            <b/>
            <sz val="8"/>
            <color indexed="81"/>
            <rFont val="Tahoma"/>
            <family val="2"/>
          </rPr>
          <t>Percentage difference between pre and post number of incidents calculated from single family.</t>
        </r>
      </text>
    </comment>
    <comment ref="I5" authorId="0" shapeId="0">
      <text>
        <r>
          <rPr>
            <b/>
            <sz val="8"/>
            <color indexed="81"/>
            <rFont val="Tahoma"/>
            <family val="2"/>
          </rPr>
          <t>Number of incidents that have occurred in the past. As a guide use 2 years of past behaviour prior to the intervention.</t>
        </r>
        <r>
          <rPr>
            <sz val="8"/>
            <color indexed="81"/>
            <rFont val="Tahoma"/>
            <family val="2"/>
          </rPr>
          <t xml:space="preserve">
</t>
        </r>
      </text>
    </comment>
    <comment ref="J5" authorId="0" shapeId="0">
      <text>
        <r>
          <rPr>
            <b/>
            <sz val="8"/>
            <color indexed="81"/>
            <rFont val="Tahoma"/>
            <family val="2"/>
          </rPr>
          <t>Estimated cost avoidance</t>
        </r>
        <r>
          <rPr>
            <sz val="8"/>
            <color indexed="81"/>
            <rFont val="Tahoma"/>
            <family val="2"/>
          </rPr>
          <t xml:space="preserve">
</t>
        </r>
      </text>
    </comment>
    <comment ref="L5" authorId="0" shapeId="0">
      <text>
        <r>
          <rPr>
            <b/>
            <sz val="8"/>
            <color indexed="81"/>
            <rFont val="Tahoma"/>
            <family val="2"/>
          </rPr>
          <t>Number of incidents at the completion of an intervention</t>
        </r>
      </text>
    </comment>
    <comment ref="M5" authorId="0" shapeId="0">
      <text>
        <r>
          <rPr>
            <b/>
            <sz val="8"/>
            <color indexed="81"/>
            <rFont val="Tahoma"/>
            <family val="2"/>
          </rPr>
          <t>Difference between pre &amp; post-intervention incidents</t>
        </r>
        <r>
          <rPr>
            <sz val="8"/>
            <color indexed="81"/>
            <rFont val="Tahoma"/>
            <family val="2"/>
          </rPr>
          <t xml:space="preserve">
</t>
        </r>
      </text>
    </comment>
    <comment ref="F8" authorId="1" shapeId="0">
      <text>
        <r>
          <rPr>
            <b/>
            <sz val="8"/>
            <color indexed="81"/>
            <rFont val="Tahoma"/>
            <family val="2"/>
          </rPr>
          <t>wellingtonm:</t>
        </r>
        <r>
          <rPr>
            <sz val="8"/>
            <color indexed="81"/>
            <rFont val="Tahoma"/>
            <family val="2"/>
          </rPr>
          <t xml:space="preserve">
The amount allowed by government for councils to recover from the keeper of a vehicle known to be abandoned is currently £105 for removal, £12.50 a day storage and £50 for disposal. i.e. £330 per vehicle, because vehicles are stored for a minimum of 14 days.</t>
        </r>
      </text>
    </comment>
    <comment ref="A11" authorId="0" shapeId="0">
      <text>
        <r>
          <rPr>
            <b/>
            <sz val="8"/>
            <color indexed="81"/>
            <rFont val="Tahoma"/>
            <family val="2"/>
          </rPr>
          <t>assume 5% of local authority dwellings vandalised per annum</t>
        </r>
        <r>
          <rPr>
            <sz val="8"/>
            <color indexed="81"/>
            <rFont val="Tahoma"/>
            <family val="2"/>
          </rPr>
          <t xml:space="preserve">
</t>
        </r>
      </text>
    </comment>
    <comment ref="F12" authorId="1" shapeId="0">
      <text>
        <r>
          <rPr>
            <b/>
            <sz val="8"/>
            <color indexed="81"/>
            <rFont val="Tahoma"/>
            <family val="2"/>
          </rPr>
          <t>wellingtonm:</t>
        </r>
        <r>
          <rPr>
            <sz val="8"/>
            <color indexed="81"/>
            <rFont val="Tahoma"/>
            <family val="2"/>
          </rPr>
          <t xml:space="preserve">
As quoted in The Economic and Social Costs of Anti-Social Behaviour, Whitehead 200</t>
        </r>
      </text>
    </comment>
    <comment ref="F23" authorId="1" shapeId="0">
      <text>
        <r>
          <rPr>
            <b/>
            <sz val="8"/>
            <color indexed="81"/>
            <rFont val="Tahoma"/>
            <family val="2"/>
          </rPr>
          <t>wellingtonm:</t>
        </r>
        <r>
          <rPr>
            <sz val="8"/>
            <color indexed="81"/>
            <rFont val="Tahoma"/>
            <family val="2"/>
          </rPr>
          <t xml:space="preserve">
The costs comprise of all judicial and administrative costs directly incurred by HMCTS but exclude area and central overheads. This calculation also excludes the costs of other criminal justice agencies/departments being involved at various stages of court proceedings</t>
        </r>
      </text>
    </comment>
    <comment ref="F24" authorId="1" shapeId="0">
      <text>
        <r>
          <rPr>
            <b/>
            <sz val="8"/>
            <color indexed="81"/>
            <rFont val="Tahoma"/>
            <family val="2"/>
          </rPr>
          <t>wellingtonm:</t>
        </r>
        <r>
          <rPr>
            <sz val="8"/>
            <color indexed="81"/>
            <rFont val="Tahoma"/>
            <family val="2"/>
          </rPr>
          <t xml:space="preserve">
The costs comprise of all judicial and administrative costs directly incurred by HMCTS but exclude area and central overheads. This calculation also excludes the costs of other criminal justice agencies/departments being involved at various stages of court proceedings</t>
        </r>
      </text>
    </comment>
    <comment ref="F25" authorId="1" shapeId="0">
      <text>
        <r>
          <rPr>
            <b/>
            <sz val="8"/>
            <color indexed="81"/>
            <rFont val="Tahoma"/>
            <family val="2"/>
          </rPr>
          <t>wellingtonm:</t>
        </r>
        <r>
          <rPr>
            <sz val="8"/>
            <color indexed="81"/>
            <rFont val="Tahoma"/>
            <family val="2"/>
          </rPr>
          <t xml:space="preserve">
£40,378 (from most recent published figures in the 2009-10 NOMS Annual Report &amp; Accounts) divided by 365</t>
        </r>
      </text>
    </comment>
    <comment ref="I25" authorId="2" shapeId="0">
      <text>
        <r>
          <rPr>
            <sz val="8"/>
            <color indexed="81"/>
            <rFont val="Tahoma"/>
            <family val="2"/>
          </rPr>
          <t xml:space="preserve">This refers to the number of prison days related to an </t>
        </r>
        <r>
          <rPr>
            <b/>
            <sz val="8"/>
            <color indexed="81"/>
            <rFont val="Tahoma"/>
            <family val="2"/>
          </rPr>
          <t>incident</t>
        </r>
        <r>
          <rPr>
            <sz val="8"/>
            <color indexed="81"/>
            <rFont val="Tahoma"/>
            <family val="2"/>
          </rPr>
          <t xml:space="preserve"> which fell </t>
        </r>
        <r>
          <rPr>
            <b/>
            <sz val="8"/>
            <color indexed="81"/>
            <rFont val="Tahoma"/>
            <family val="2"/>
          </rPr>
          <t>during the pre-intervention period</t>
        </r>
        <r>
          <rPr>
            <sz val="8"/>
            <color indexed="81"/>
            <rFont val="Tahoma"/>
            <family val="2"/>
          </rPr>
          <t xml:space="preserve">. This does not refer to the number of prison days occurring due to an incident outside the pre-intervention period. </t>
        </r>
      </text>
    </comment>
    <comment ref="L25" authorId="2" shapeId="0">
      <text>
        <r>
          <rPr>
            <sz val="8"/>
            <color indexed="81"/>
            <rFont val="Tahoma"/>
            <family val="2"/>
          </rPr>
          <t xml:space="preserve">This refers to the number of prison days related to an incident which fell during the intervention period. This does not refer to the number of prison days occurring due to an incident outside the intervention period. </t>
        </r>
        <r>
          <rPr>
            <sz val="8"/>
            <color indexed="81"/>
            <rFont val="Tahoma"/>
            <family val="2"/>
          </rPr>
          <t xml:space="preserve">
</t>
        </r>
      </text>
    </comment>
    <comment ref="I28" authorId="2" shapeId="0">
      <text>
        <r>
          <rPr>
            <b/>
            <sz val="8"/>
            <color indexed="81"/>
            <rFont val="Tahoma"/>
            <family val="2"/>
          </rPr>
          <t>Enter number of episodes of truancy.</t>
        </r>
        <r>
          <rPr>
            <sz val="8"/>
            <color indexed="81"/>
            <rFont val="Tahoma"/>
            <family val="2"/>
          </rPr>
          <t xml:space="preserve">
</t>
        </r>
      </text>
    </comment>
    <comment ref="C29" authorId="0" shapeId="0">
      <text>
        <r>
          <rPr>
            <b/>
            <sz val="8"/>
            <color indexed="81"/>
            <rFont val="Tahoma"/>
            <family val="2"/>
          </rPr>
          <t>The earnings gap per
week at age 16 and 17 for
those with no qualifications. This gap is assumed for 21 months.</t>
        </r>
      </text>
    </comment>
    <comment ref="I29" authorId="0" shapeId="0">
      <text>
        <r>
          <rPr>
            <b/>
            <sz val="8"/>
            <color indexed="81"/>
            <rFont val="Tahoma"/>
            <family val="2"/>
          </rPr>
          <t>Number of incidents 1 or 0</t>
        </r>
        <r>
          <rPr>
            <sz val="8"/>
            <color indexed="81"/>
            <rFont val="Tahoma"/>
            <family val="2"/>
          </rPr>
          <t xml:space="preserve">
</t>
        </r>
      </text>
    </comment>
    <comment ref="C30" authorId="0" shapeId="0">
      <text>
        <r>
          <rPr>
            <b/>
            <sz val="8"/>
            <color indexed="81"/>
            <rFont val="Tahoma"/>
            <family val="2"/>
          </rPr>
          <t>The earnings gap per
week at age 18 for
those with no qualifications. This gap is assumed for 9 months.</t>
        </r>
      </text>
    </comment>
    <comment ref="I30" authorId="0" shapeId="0">
      <text>
        <r>
          <rPr>
            <b/>
            <sz val="8"/>
            <color indexed="81"/>
            <rFont val="Tahoma"/>
            <family val="2"/>
          </rPr>
          <t>Number of incidents 1 or 0</t>
        </r>
        <r>
          <rPr>
            <sz val="8"/>
            <color indexed="81"/>
            <rFont val="Tahoma"/>
            <family val="2"/>
          </rPr>
          <t xml:space="preserve">
</t>
        </r>
      </text>
    </comment>
    <comment ref="C31" authorId="0" shapeId="0">
      <text>
        <r>
          <rPr>
            <b/>
            <sz val="8"/>
            <color indexed="81"/>
            <rFont val="Tahoma"/>
            <family val="2"/>
          </rPr>
          <t>The earnings gap per
week at age 18 for
those with no qualifications. This gap is assumed for 9 months.</t>
        </r>
      </text>
    </comment>
    <comment ref="I31" authorId="0" shapeId="0">
      <text>
        <r>
          <rPr>
            <b/>
            <sz val="8"/>
            <color indexed="81"/>
            <rFont val="Tahoma"/>
            <family val="2"/>
          </rPr>
          <t>Number of incidents 1 or 0</t>
        </r>
        <r>
          <rPr>
            <sz val="8"/>
            <color indexed="81"/>
            <rFont val="Tahoma"/>
            <family val="2"/>
          </rPr>
          <t xml:space="preserve">
</t>
        </r>
      </text>
    </comment>
    <comment ref="I32" authorId="2" shapeId="0">
      <text>
        <r>
          <rPr>
            <b/>
            <sz val="8"/>
            <color indexed="81"/>
            <rFont val="Tahoma"/>
            <family val="2"/>
          </rPr>
          <t>Enter number of exclusions.</t>
        </r>
        <r>
          <rPr>
            <sz val="8"/>
            <color indexed="81"/>
            <rFont val="Tahoma"/>
            <family val="2"/>
          </rPr>
          <t xml:space="preserve">
</t>
        </r>
      </text>
    </comment>
    <comment ref="C34" authorId="0" shapeId="0">
      <text>
        <r>
          <rPr>
            <b/>
            <sz val="8"/>
            <color indexed="81"/>
            <rFont val="Tahoma"/>
            <family val="2"/>
          </rPr>
          <t>2 months = 0.17
4 months = 0.33
6 months = 0.5
8 months = 0.67
10 months = 0.83</t>
        </r>
        <r>
          <rPr>
            <sz val="8"/>
            <color indexed="81"/>
            <rFont val="Tahoma"/>
            <family val="2"/>
          </rPr>
          <t xml:space="preserve">
</t>
        </r>
      </text>
    </comment>
    <comment ref="C49" authorId="0" shapeId="0">
      <text>
        <r>
          <rPr>
            <b/>
            <sz val="8"/>
            <color indexed="81"/>
            <rFont val="Tahoma"/>
            <family val="2"/>
          </rPr>
          <t>Issued but not enforced</t>
        </r>
        <r>
          <rPr>
            <sz val="8"/>
            <color indexed="81"/>
            <rFont val="Tahoma"/>
            <family val="2"/>
          </rPr>
          <t xml:space="preserve">
</t>
        </r>
      </text>
    </comment>
    <comment ref="E50" authorId="0" shapeId="0">
      <text>
        <r>
          <rPr>
            <b/>
            <sz val="8"/>
            <color indexed="81"/>
            <rFont val="Tahoma"/>
            <family val="2"/>
          </rPr>
          <t>Enter estimated rent arrears amount here</t>
        </r>
        <r>
          <rPr>
            <sz val="8"/>
            <color indexed="81"/>
            <rFont val="Tahoma"/>
            <family val="2"/>
          </rPr>
          <t xml:space="preserve">
</t>
        </r>
      </text>
    </comment>
    <comment ref="A63" authorId="0" shapeId="0">
      <text>
        <r>
          <rPr>
            <b/>
            <sz val="8"/>
            <color indexed="81"/>
            <rFont val="Tahoma"/>
            <family val="2"/>
          </rPr>
          <t>Community Psychiatric Nurse</t>
        </r>
        <r>
          <rPr>
            <sz val="8"/>
            <color indexed="81"/>
            <rFont val="Tahoma"/>
            <family val="2"/>
          </rPr>
          <t xml:space="preserve">
</t>
        </r>
      </text>
    </comment>
    <comment ref="A73" authorId="0" shapeId="0">
      <text>
        <r>
          <rPr>
            <b/>
            <sz val="8"/>
            <color indexed="81"/>
            <rFont val="Tahoma"/>
            <family val="2"/>
          </rPr>
          <t>For people who misuse drugs/alcohol</t>
        </r>
        <r>
          <rPr>
            <sz val="8"/>
            <color indexed="81"/>
            <rFont val="Tahoma"/>
            <family val="2"/>
          </rPr>
          <t xml:space="preserve">
</t>
        </r>
      </text>
    </comment>
    <comment ref="A74" authorId="0" shapeId="0">
      <text>
        <r>
          <rPr>
            <b/>
            <sz val="8"/>
            <color indexed="81"/>
            <rFont val="Tahoma"/>
            <family val="2"/>
          </rPr>
          <t>For people who misuse drugs/alcohol</t>
        </r>
        <r>
          <rPr>
            <sz val="8"/>
            <color indexed="81"/>
            <rFont val="Tahoma"/>
            <family val="2"/>
          </rPr>
          <t xml:space="preserve">
</t>
        </r>
      </text>
    </comment>
    <comment ref="A87" authorId="0" shapeId="0">
      <text>
        <r>
          <rPr>
            <b/>
            <sz val="8"/>
            <color indexed="81"/>
            <rFont val="Tahoma"/>
            <family val="2"/>
          </rPr>
          <t>Includes:
Care planning, maintaining the placement, review, legal and transition to leaving care</t>
        </r>
        <r>
          <rPr>
            <sz val="8"/>
            <color indexed="81"/>
            <rFont val="Tahoma"/>
            <family val="2"/>
          </rPr>
          <t xml:space="preserve">
</t>
        </r>
      </text>
    </comment>
    <comment ref="C89" authorId="0" shapeId="0">
      <text>
        <r>
          <rPr>
            <b/>
            <sz val="8"/>
            <color indexed="81"/>
            <rFont val="Tahoma"/>
            <family val="2"/>
          </rPr>
          <t xml:space="preserve">Includes:
</t>
        </r>
        <r>
          <rPr>
            <sz val="8"/>
            <color indexed="81"/>
            <rFont val="Tahoma"/>
            <family val="2"/>
          </rPr>
          <t>Initial contact and referral
Initial assessment
Ongoing support (per month)
Core assessment
Child protection case conference review
Section 47 Enquiry including strategy meeting
Close case</t>
        </r>
      </text>
    </comment>
    <comment ref="C91" authorId="0" shapeId="0">
      <text>
        <r>
          <rPr>
            <b/>
            <sz val="8"/>
            <color indexed="81"/>
            <rFont val="Tahoma"/>
            <family val="2"/>
          </rPr>
          <t>Cost per family</t>
        </r>
        <r>
          <rPr>
            <sz val="8"/>
            <color indexed="81"/>
            <rFont val="Tahoma"/>
            <family val="2"/>
          </rPr>
          <t xml:space="preserve">
</t>
        </r>
      </text>
    </comment>
    <comment ref="C92" authorId="0" shapeId="0">
      <text>
        <r>
          <rPr>
            <b/>
            <sz val="8"/>
            <color indexed="81"/>
            <rFont val="Tahoma"/>
            <family val="2"/>
          </rPr>
          <t>Cost per parent</t>
        </r>
        <r>
          <rPr>
            <sz val="8"/>
            <color indexed="81"/>
            <rFont val="Tahoma"/>
            <family val="2"/>
          </rPr>
          <t xml:space="preserve">
</t>
        </r>
      </text>
    </comment>
    <comment ref="C93" authorId="0" shapeId="0">
      <text>
        <r>
          <rPr>
            <b/>
            <sz val="8"/>
            <color indexed="81"/>
            <rFont val="Tahoma"/>
            <family val="2"/>
          </rPr>
          <t>Cost per family</t>
        </r>
        <r>
          <rPr>
            <sz val="8"/>
            <color indexed="81"/>
            <rFont val="Tahoma"/>
            <family val="2"/>
          </rPr>
          <t xml:space="preserve">
</t>
        </r>
      </text>
    </comment>
    <comment ref="C94" authorId="0" shapeId="0">
      <text>
        <r>
          <rPr>
            <b/>
            <sz val="8"/>
            <color indexed="81"/>
            <rFont val="Tahoma"/>
            <family val="2"/>
          </rPr>
          <t>Cost per family</t>
        </r>
        <r>
          <rPr>
            <sz val="8"/>
            <color indexed="81"/>
            <rFont val="Tahoma"/>
            <family val="2"/>
          </rPr>
          <t xml:space="preserve">
</t>
        </r>
      </text>
    </comment>
    <comment ref="A96" authorId="0" shapeId="0">
      <text>
        <r>
          <rPr>
            <b/>
            <sz val="10"/>
            <color indexed="81"/>
            <rFont val="Tahoma"/>
            <family val="2"/>
          </rPr>
          <t xml:space="preserve">Use this section to enter negative outcomes that have not been addressed above.
If extra costs are not </t>
        </r>
        <r>
          <rPr>
            <b/>
            <u/>
            <sz val="10"/>
            <color indexed="81"/>
            <rFont val="Tahoma"/>
            <family val="2"/>
          </rPr>
          <t>linked to an organisation</t>
        </r>
        <r>
          <rPr>
            <b/>
            <sz val="10"/>
            <color indexed="81"/>
            <rFont val="Tahoma"/>
            <family val="2"/>
          </rPr>
          <t xml:space="preserve"> they won't be counted.</t>
        </r>
      </text>
    </comment>
    <comment ref="E96" authorId="1" shapeId="0">
      <text>
        <r>
          <rPr>
            <b/>
            <sz val="10"/>
            <color indexed="81"/>
            <rFont val="Tahoma"/>
            <family val="2"/>
          </rPr>
          <t>Include type of cost</t>
        </r>
      </text>
    </comment>
    <comment ref="G96" authorId="0" shapeId="0">
      <text>
        <r>
          <rPr>
            <b/>
            <sz val="8"/>
            <color indexed="81"/>
            <rFont val="Tahoma"/>
            <family val="2"/>
          </rPr>
          <t>Percentage difference between pre and post number of incidents calculated from single family.</t>
        </r>
      </text>
    </comment>
    <comment ref="I96" authorId="0" shapeId="0">
      <text>
        <r>
          <rPr>
            <b/>
            <sz val="8"/>
            <color indexed="81"/>
            <rFont val="Tahoma"/>
            <family val="2"/>
          </rPr>
          <t>Number of incidents that have occurred in the past. As a guide use 2 years of past behaviour prior to the intervention.</t>
        </r>
        <r>
          <rPr>
            <sz val="8"/>
            <color indexed="81"/>
            <rFont val="Tahoma"/>
            <family val="2"/>
          </rPr>
          <t xml:space="preserve">
</t>
        </r>
      </text>
    </comment>
    <comment ref="J96" authorId="0" shapeId="0">
      <text>
        <r>
          <rPr>
            <b/>
            <sz val="8"/>
            <color indexed="81"/>
            <rFont val="Tahoma"/>
            <family val="2"/>
          </rPr>
          <t>Estimated cost avoidance</t>
        </r>
        <r>
          <rPr>
            <sz val="8"/>
            <color indexed="81"/>
            <rFont val="Tahoma"/>
            <family val="2"/>
          </rPr>
          <t xml:space="preserve">
</t>
        </r>
      </text>
    </comment>
    <comment ref="L96" authorId="0" shapeId="0">
      <text>
        <r>
          <rPr>
            <b/>
            <sz val="8"/>
            <color indexed="81"/>
            <rFont val="Tahoma"/>
            <family val="2"/>
          </rPr>
          <t>Number of incidents at the completion of an intervention</t>
        </r>
      </text>
    </comment>
    <comment ref="M96" authorId="0" shapeId="0">
      <text>
        <r>
          <rPr>
            <b/>
            <sz val="8"/>
            <color indexed="81"/>
            <rFont val="Tahoma"/>
            <family val="2"/>
          </rPr>
          <t>Difference between pre &amp; post-intervention incidents</t>
        </r>
        <r>
          <rPr>
            <sz val="8"/>
            <color indexed="81"/>
            <rFont val="Tahoma"/>
            <family val="2"/>
          </rPr>
          <t xml:space="preserve">
</t>
        </r>
      </text>
    </comment>
    <comment ref="N96" authorId="1" shapeId="0">
      <text>
        <r>
          <rPr>
            <b/>
            <sz val="10"/>
            <color indexed="81"/>
            <rFont val="Tahoma"/>
            <family val="2"/>
          </rPr>
          <t>Include source of unit cost</t>
        </r>
      </text>
    </comment>
  </commentList>
</comments>
</file>

<file path=xl/sharedStrings.xml><?xml version="1.0" encoding="utf-8"?>
<sst xmlns="http://schemas.openxmlformats.org/spreadsheetml/2006/main" count="1352" uniqueCount="348">
  <si>
    <t>Organisation bearing the cost</t>
  </si>
  <si>
    <t>Cost</t>
  </si>
  <si>
    <t>Source</t>
  </si>
  <si>
    <t>Crime/anti-social behaviour</t>
  </si>
  <si>
    <t>Vehicle theft</t>
  </si>
  <si>
    <t>Police</t>
  </si>
  <si>
    <t>Abandoned vehicle (collect and dispose)</t>
  </si>
  <si>
    <t>Local authority</t>
  </si>
  <si>
    <t>Hoax fire call</t>
  </si>
  <si>
    <t>Commercial sector</t>
  </si>
  <si>
    <t>Cost of local authority house vandalism; assume 5% of local authority dwellings vandalised per annum</t>
  </si>
  <si>
    <t>Replacing bus shelter</t>
  </si>
  <si>
    <t>Private sector</t>
  </si>
  <si>
    <t>Various</t>
  </si>
  <si>
    <t>YOT</t>
  </si>
  <si>
    <t>Parenting Order</t>
  </si>
  <si>
    <t>Referral Order</t>
  </si>
  <si>
    <t>Reparation Order</t>
  </si>
  <si>
    <t>Supervision Order</t>
  </si>
  <si>
    <t>ASBOs</t>
  </si>
  <si>
    <t>Arrest</t>
  </si>
  <si>
    <t>Criminal Justice</t>
  </si>
  <si>
    <t>Prison day</t>
  </si>
  <si>
    <t>Education/Employment</t>
  </si>
  <si>
    <t>Society</t>
  </si>
  <si>
    <t>Housing</t>
  </si>
  <si>
    <t>Noise – including staff time and prosecution</t>
  </si>
  <si>
    <t>Noise – Housing department informal intervention</t>
  </si>
  <si>
    <t>Noise – transfer of tenancy</t>
  </si>
  <si>
    <t>Noise – legal action</t>
  </si>
  <si>
    <t>Nuisance behaviour – legal action to local authority</t>
  </si>
  <si>
    <t>Nuisance behaviour – possession action</t>
  </si>
  <si>
    <t>Nuisance behaviour – eviction</t>
  </si>
  <si>
    <t>Neighbourhood disputes – costs including staff time</t>
  </si>
  <si>
    <t>Neighbourhood disputes – possession order</t>
  </si>
  <si>
    <t>Eviction for anti-social behaviour</t>
  </si>
  <si>
    <t>Neighbourhood disputes – injunction</t>
  </si>
  <si>
    <t>Health Care</t>
  </si>
  <si>
    <t>A &amp; E</t>
  </si>
  <si>
    <t>Health Service</t>
  </si>
  <si>
    <t>Emergency ambulance</t>
  </si>
  <si>
    <t>Netten &amp; Curtis (2006) p108</t>
  </si>
  <si>
    <t>Inpatient</t>
  </si>
  <si>
    <t>NHS Ref costs (weighted average of all inpatient (TELIP)</t>
  </si>
  <si>
    <t>Outpatient</t>
  </si>
  <si>
    <t>PN</t>
  </si>
  <si>
    <t>Netten &amp; Curtis (2006) p130</t>
  </si>
  <si>
    <t>PN Home</t>
  </si>
  <si>
    <t>CPN Home</t>
  </si>
  <si>
    <t>NHS Direct</t>
  </si>
  <si>
    <t>Alternative medical practitioner</t>
  </si>
  <si>
    <t>£11/visit</t>
  </si>
  <si>
    <t>£10 uprated by inflation</t>
  </si>
  <si>
    <t>based on cardiovascular appointment low end of current OP DRG costs uprated by HCHS</t>
  </si>
  <si>
    <t>Drug and Alcohol Services</t>
  </si>
  <si>
    <t>Counsellor</t>
  </si>
  <si>
    <t>Social Care</t>
  </si>
  <si>
    <t>Occupational Therapist</t>
  </si>
  <si>
    <t>Social Services</t>
  </si>
  <si>
    <t>Social worker</t>
  </si>
  <si>
    <t>Benefits adviser</t>
  </si>
  <si>
    <t>Housing Benefit adviser</t>
  </si>
  <si>
    <t>As above</t>
  </si>
  <si>
    <t>Other social adviser</t>
  </si>
  <si>
    <t>Psychiatrist</t>
  </si>
  <si>
    <t>Psychologist</t>
  </si>
  <si>
    <t>Parenting programmes</t>
  </si>
  <si>
    <t>Predicted Saving</t>
  </si>
  <si>
    <t>Sub Total</t>
  </si>
  <si>
    <t>Amended Cost</t>
  </si>
  <si>
    <t>Family Member</t>
  </si>
  <si>
    <t>Family Member 1</t>
  </si>
  <si>
    <t>Family Member 2</t>
  </si>
  <si>
    <t>Family Member 3</t>
  </si>
  <si>
    <t>Family Member 4</t>
  </si>
  <si>
    <t>Family Member 5</t>
  </si>
  <si>
    <t>Family Member 6</t>
  </si>
  <si>
    <t>Enter Family Member Names:</t>
  </si>
  <si>
    <t>Total Family Saving</t>
  </si>
  <si>
    <t>Organisation</t>
  </si>
  <si>
    <t>Total Caseload Saving</t>
  </si>
  <si>
    <t>Family Member 7</t>
  </si>
  <si>
    <t>Family Member 8</t>
  </si>
  <si>
    <t>Total Cases</t>
  </si>
  <si>
    <t>Intervention Cost</t>
  </si>
  <si>
    <t>No qualifications at 16/17. Weekly earnings gap experienced for 21 months for 16/17-year-old</t>
  </si>
  <si>
    <t>No qualifications for women aged 18. Weekly earnings gap experienced for 9 months for 18-year-old</t>
  </si>
  <si>
    <t>No qualifications for men aged 18. Weekly earnings gap experienced for 9 months for 18-year-old</t>
  </si>
  <si>
    <t>Voluntary sector residential rehabilitation</t>
  </si>
  <si>
    <r>
      <t xml:space="preserve">   ·  </t>
    </r>
    <r>
      <rPr>
        <sz val="10"/>
        <rFont val="Arial"/>
        <family val="2"/>
      </rPr>
      <t>Group in-clinic</t>
    </r>
  </si>
  <si>
    <r>
      <t xml:space="preserve">   ·  </t>
    </r>
    <r>
      <rPr>
        <sz val="10"/>
        <rFont val="Arial"/>
        <family val="2"/>
      </rPr>
      <t>Group in-community</t>
    </r>
  </si>
  <si>
    <r>
      <t xml:space="preserve">   ·</t>
    </r>
    <r>
      <rPr>
        <sz val="10"/>
        <rFont val="Times New Roman"/>
        <family val="1"/>
      </rPr>
      <t>  </t>
    </r>
    <r>
      <rPr>
        <sz val="10"/>
        <rFont val="Arial"/>
        <family val="2"/>
      </rPr>
      <t>Individual in-clinic</t>
    </r>
  </si>
  <si>
    <r>
      <t xml:space="preserve">   ·</t>
    </r>
    <r>
      <rPr>
        <sz val="10"/>
        <rFont val="Times New Roman"/>
        <family val="1"/>
      </rPr>
      <t>  </t>
    </r>
    <r>
      <rPr>
        <sz val="10"/>
        <rFont val="Arial"/>
        <family val="2"/>
      </rPr>
      <t>Individual in-home</t>
    </r>
  </si>
  <si>
    <t>Child and Adolescent Mental Health Service</t>
  </si>
  <si>
    <t>ASB Warning letter</t>
  </si>
  <si>
    <t>Acceptable Behaviour Contract</t>
  </si>
  <si>
    <t>Crown court proceeding</t>
  </si>
  <si>
    <t>Magistrates’ court proceeding</t>
  </si>
  <si>
    <t>Amended % Reduction of Risk</t>
  </si>
  <si>
    <t>Intensive Supervision and Surveillance Programme
(six-month programme cost)</t>
  </si>
  <si>
    <t>Total Individuals</t>
  </si>
  <si>
    <t>Total Parents</t>
  </si>
  <si>
    <t>Total Children</t>
  </si>
  <si>
    <t>C</t>
  </si>
  <si>
    <t>P</t>
  </si>
  <si>
    <t>Name</t>
  </si>
  <si>
    <t>Chart Name</t>
  </si>
  <si>
    <t>Saving</t>
  </si>
  <si>
    <t>Temporary Data</t>
  </si>
  <si>
    <t>Chart Data</t>
  </si>
  <si>
    <t>Category</t>
  </si>
  <si>
    <t>Total</t>
  </si>
  <si>
    <t>Family</t>
  </si>
  <si>
    <t>Predicted Savings</t>
  </si>
  <si>
    <t>Abandoned vehicle</t>
  </si>
  <si>
    <t>LA house vandalism</t>
  </si>
  <si>
    <t>ABC</t>
  </si>
  <si>
    <t>Intensive Supervision and Surveillance Programme</t>
  </si>
  <si>
    <t>Magistrates’ court</t>
  </si>
  <si>
    <t>Crown court</t>
  </si>
  <si>
    <t>Weekly earnings gap exp for 21 months for 16/17 yr old</t>
  </si>
  <si>
    <t>Weekly earnings gap exp for 9 months for 18 yr old women</t>
  </si>
  <si>
    <t>Weekly earnings gap exp for 9 months for 18 yr old men</t>
  </si>
  <si>
    <t>Noise – inc staff time and prosecution</t>
  </si>
  <si>
    <t>Nuisance behaviour – legal action to la</t>
  </si>
  <si>
    <t>Average Saving per Family</t>
  </si>
  <si>
    <t>Average Saving per Individual</t>
  </si>
  <si>
    <t>Average Family Savings by Service</t>
  </si>
  <si>
    <t>Average Family Savings by type of problem</t>
  </si>
  <si>
    <t>Start year</t>
  </si>
  <si>
    <t>Number of years</t>
  </si>
  <si>
    <t>Families completed intervention</t>
  </si>
  <si>
    <t>Financial Year</t>
  </si>
  <si>
    <t>Enter number of families who have</t>
  </si>
  <si>
    <t>Cost Avoidance Yearly Projections</t>
  </si>
  <si>
    <t>O</t>
  </si>
  <si>
    <t>Police call out</t>
  </si>
  <si>
    <t>Notice of Seeking Possession</t>
  </si>
  <si>
    <t>Child Protection Plan</t>
  </si>
  <si>
    <t>NOSP</t>
  </si>
  <si>
    <t>across the authority in a year</t>
  </si>
  <si>
    <t>Estimate In-Year Savings</t>
  </si>
  <si>
    <t>across all services</t>
  </si>
  <si>
    <t>successfully completed an intervention</t>
  </si>
  <si>
    <t>Domestic Violence</t>
  </si>
  <si>
    <t>Single Family Results</t>
  </si>
  <si>
    <t>Multiple Family Results</t>
  </si>
  <si>
    <t>Family Savings Calculator</t>
  </si>
  <si>
    <t>Accum. Total</t>
  </si>
  <si>
    <t>Families</t>
  </si>
  <si>
    <t>Areas</t>
  </si>
  <si>
    <t>Members</t>
  </si>
  <si>
    <t>Comments</t>
  </si>
  <si>
    <t>Family Member 9</t>
  </si>
  <si>
    <t>Family Member 10</t>
  </si>
  <si>
    <t>Exclusion from school</t>
  </si>
  <si>
    <t>Pre-intervention - No. Incidents</t>
  </si>
  <si>
    <t>Post-intervention - No. incidents</t>
  </si>
  <si>
    <t>Actual Saving</t>
  </si>
  <si>
    <t>Cost of local authority house vandalism</t>
  </si>
  <si>
    <t>Inpatient treatment for drugs/alcohol misuse</t>
  </si>
  <si>
    <t>A&amp;E</t>
  </si>
  <si>
    <t>Day care for adults with mental health problems</t>
  </si>
  <si>
    <t>£105/day</t>
  </si>
  <si>
    <t>Index</t>
  </si>
  <si>
    <t>£44/hour</t>
  </si>
  <si>
    <t>Methadone treatment</t>
  </si>
  <si>
    <t>Rent arrears</t>
  </si>
  <si>
    <t>Lost days of work</t>
  </si>
  <si>
    <t>-</t>
  </si>
  <si>
    <t>Specialist</t>
  </si>
  <si>
    <t>Staff Costs</t>
  </si>
  <si>
    <t>External Resources</t>
  </si>
  <si>
    <t>Voluntary Staff</t>
  </si>
  <si>
    <t>Other Staff Costs</t>
  </si>
  <si>
    <t>Universal Costs</t>
  </si>
  <si>
    <t>Accommodation</t>
  </si>
  <si>
    <t>Building Costs</t>
  </si>
  <si>
    <t>Other Universal Costs</t>
  </si>
  <si>
    <t>Operational Costs</t>
  </si>
  <si>
    <t>Finance</t>
  </si>
  <si>
    <t>Other Admin Costs</t>
  </si>
  <si>
    <t>Project Costs</t>
  </si>
  <si>
    <t>Development Costs</t>
  </si>
  <si>
    <t>Support &amp; Training</t>
  </si>
  <si>
    <t>Total cost per year</t>
  </si>
  <si>
    <t>Total cost per week</t>
  </si>
  <si>
    <t>Expenditure per year</t>
  </si>
  <si>
    <t>Internal Staff</t>
  </si>
  <si>
    <t>Transport</t>
  </si>
  <si>
    <t>Lighting and Heating</t>
  </si>
  <si>
    <t>Communications/IT Computing</t>
  </si>
  <si>
    <t>Printing, Stationery and General Office</t>
  </si>
  <si>
    <t>Publicity and Events</t>
  </si>
  <si>
    <t>Other Operational Costs</t>
  </si>
  <si>
    <t>Total cost per day</t>
  </si>
  <si>
    <t>Health Costs</t>
  </si>
  <si>
    <t>Individual Family Budget</t>
  </si>
  <si>
    <t>Number of families supported per year</t>
  </si>
  <si>
    <t>Pupil Referral Unit</t>
  </si>
  <si>
    <t>Child being taken into care (LA Foster Care)</t>
  </si>
  <si>
    <t>Child being taken into care (LA Residential Care)</t>
  </si>
  <si>
    <t>LA Foster Care</t>
  </si>
  <si>
    <t>LA Residential Care</t>
  </si>
  <si>
    <t>Total cost per month</t>
  </si>
  <si>
    <t>Agency</t>
  </si>
  <si>
    <t>Average Saving</t>
  </si>
  <si>
    <t>Pre-Intervention cost</t>
  </si>
  <si>
    <t>Post-Intervention cost</t>
  </si>
  <si>
    <t>Reduction in cost</t>
  </si>
  <si>
    <t xml:space="preserve">                     Crown Copyright: Department of Education</t>
  </si>
  <si>
    <t>Crown copyright: Department of Education</t>
  </si>
  <si>
    <t xml:space="preserve">          (Crown Copyright: Department of Education)</t>
  </si>
  <si>
    <t>Graffiti</t>
  </si>
  <si>
    <t>£49/week</t>
  </si>
  <si>
    <t>£55/week</t>
  </si>
  <si>
    <t>£74/week</t>
  </si>
  <si>
    <t>£98/day</t>
  </si>
  <si>
    <t>£15,902/year</t>
  </si>
  <si>
    <t>Education Welfare Officer</t>
  </si>
  <si>
    <t>£12/hr</t>
  </si>
  <si>
    <t>£131/visit</t>
  </si>
  <si>
    <t>£142/day</t>
  </si>
  <si>
    <t>£272.37/journey</t>
  </si>
  <si>
    <t>£247/day</t>
  </si>
  <si>
    <t>£152/visit</t>
  </si>
  <si>
    <t>Visit to a GP Surgery</t>
  </si>
  <si>
    <t>£32/visit</t>
  </si>
  <si>
    <t>GP Home Visit</t>
  </si>
  <si>
    <t>£108/visit</t>
  </si>
  <si>
    <t>£27/hour</t>
  </si>
  <si>
    <t>GP Prescription</t>
  </si>
  <si>
    <t>£104/appointment</t>
  </si>
  <si>
    <t>Specialist midwife Teenage Birth/Substance Abuse</t>
  </si>
  <si>
    <t>Abortion</t>
  </si>
  <si>
    <t>£810/week</t>
  </si>
  <si>
    <t>Inpatient Detoxification</t>
  </si>
  <si>
    <t>Alcohol Health Worker - Clinic Consultant</t>
  </si>
  <si>
    <t>£52/hour</t>
  </si>
  <si>
    <t>£39/hour</t>
  </si>
  <si>
    <t>£32/hour</t>
  </si>
  <si>
    <t>£248/hour</t>
  </si>
  <si>
    <t>£6,036 + £1,898/month</t>
  </si>
  <si>
    <t>£6,186 + £15,050/month</t>
  </si>
  <si>
    <t>£6,186 + £381/month</t>
  </si>
  <si>
    <t>Average Intervention cost per family</t>
  </si>
  <si>
    <t>Family Success Indicators</t>
  </si>
  <si>
    <t>Family:</t>
  </si>
  <si>
    <t xml:space="preserve">New Referral </t>
  </si>
  <si>
    <t>Latest Review</t>
  </si>
  <si>
    <t>Progress</t>
  </si>
  <si>
    <t>1. ASB related complaints about the family</t>
  </si>
  <si>
    <t>2. Family is facing one or more housing enforcement actions</t>
  </si>
  <si>
    <t>3. One or more family members has one or more pre-court/post court actions in place</t>
  </si>
  <si>
    <t>4. Family's children are experiencing truancy/exclusion at school</t>
  </si>
  <si>
    <t>5. Children on the edge of care</t>
  </si>
  <si>
    <t>6. Adults aged 16-19 are not in training or education</t>
  </si>
  <si>
    <t>7. Adults are unemployed</t>
  </si>
  <si>
    <t>8. Family engagement with project and other services</t>
  </si>
  <si>
    <t>9. Engaging with health services</t>
  </si>
  <si>
    <t>10. Living environment</t>
  </si>
  <si>
    <t>11. Family is facing difficulty with daily tasks</t>
  </si>
  <si>
    <t>12. Family has a lack of positive activities for children</t>
  </si>
  <si>
    <t>13. Family has poor parenting issues</t>
  </si>
  <si>
    <t>14. Relationships within the home</t>
  </si>
  <si>
    <t>15. Family has domestic violence concern</t>
  </si>
  <si>
    <t>16. Sexual and reproductive health</t>
  </si>
  <si>
    <t xml:space="preserve">17. Family is affected by mental health problems </t>
  </si>
  <si>
    <t>18. Family has drug or substance misuse concerns</t>
  </si>
  <si>
    <t>19. Family has drinking problems/alcholism concerns</t>
  </si>
  <si>
    <t>20. Family has physical health problems</t>
  </si>
  <si>
    <t>Economic and Social costs of crime (2004/5) (Uprated)</t>
  </si>
  <si>
    <t xml:space="preserve">Government costs </t>
  </si>
  <si>
    <t>The Economic Cost of Fire: estimates for 2004 (uprated)</t>
  </si>
  <si>
    <t>£33/hr</t>
  </si>
  <si>
    <t>QUEST police programme</t>
  </si>
  <si>
    <t>British Transport Police (2003) - (Uprated)</t>
  </si>
  <si>
    <t xml:space="preserve">Gateshead council (2003),  uprated </t>
  </si>
  <si>
    <t>Newcastle Council 2005 - LGA Clean Neighbourhoods and environment bill key facts and figures -  (uprated)</t>
  </si>
  <si>
    <t>NAO - Tackling Anti-Social Behaviour (2006) - uprated</t>
  </si>
  <si>
    <t>Hansard 2004 uprated with inflation</t>
  </si>
  <si>
    <t>ISSP - the initial report 2004 - uprated</t>
  </si>
  <si>
    <t>2005 - youth justice board workload calcuations - uprated</t>
  </si>
  <si>
    <t>Hansard 2004 - Uprated</t>
  </si>
  <si>
    <t>2005 - youth justice board workload calcuations uprated</t>
  </si>
  <si>
    <t>Home office - Uprated</t>
  </si>
  <si>
    <t>HMCTS 2009/10</t>
  </si>
  <si>
    <t xml:space="preserve">CIVITAS Institute for the Study of Civil Society 2010, and £40,378 (from most recent published figures in the 2009-10 NOMS Annual Report &amp; Accounts) divided by 365 </t>
  </si>
  <si>
    <t>Godfrey (2002) - uprated</t>
  </si>
  <si>
    <t>Dignan et al (1996) - uprated</t>
  </si>
  <si>
    <t>SEU (2000) Uprated</t>
  </si>
  <si>
    <t>Hunter et al (2000) Uprated</t>
  </si>
  <si>
    <t>Dignan et al (1996) - Uprated</t>
  </si>
  <si>
    <t>Pawson et al (2005) - Uprated</t>
  </si>
  <si>
    <t>NHS Trust and Primary Care Trusts 2009/10 levels using the HCHS Pay &amp; Prices inflator</t>
  </si>
  <si>
    <t>National Treatment Agency (Personal communication with the NTA, 2010)</t>
  </si>
  <si>
    <t>The mean average cost for NHS day care for people with mental health problems for 2009 - Uprated</t>
  </si>
  <si>
    <t xml:space="preserve">The average cost of a call handled by one of our Health Advisors using our 0845 number.  NHS Direct Business Plan 2010/11  </t>
  </si>
  <si>
    <t>Based on personal communication with The Information Centre (2010).</t>
  </si>
  <si>
    <t>The information is based on National Child and Adolescent Mental Health Service Mapping data and returns from 335 teams</t>
  </si>
  <si>
    <t>Teenage Pregnancy Independent Advisory Group - uprated</t>
  </si>
  <si>
    <t>Findings of the Baseline Review of Contraceptive Services in England (2007) - uprated</t>
  </si>
  <si>
    <t>Netten &amp; Curtis (2006) p186 - uprated</t>
  </si>
  <si>
    <t>PSSRU Social Care, Based on information provided by the National Treatment Agency</t>
  </si>
  <si>
    <t>PSSRU 2011</t>
  </si>
  <si>
    <t>DfE Tool</t>
  </si>
  <si>
    <t>PSSRU 2011, Qualified rate, Centre for the Economics of Mental Health at the Institute of Psychiatry, London</t>
  </si>
  <si>
    <t>PSSRU 2011, Based on 30 minutes contact (£36/hr) - Uprated</t>
  </si>
  <si>
    <t>PSSRU 2011, 30 minutes contact - Uprated</t>
  </si>
  <si>
    <t>Based on social worker adult rate per hour of client-related work (£31 per hour) 30 minutes contact - Uprated</t>
  </si>
  <si>
    <t>PSSRU 2011, per client contact hour</t>
  </si>
  <si>
    <t>PSSRU 2011, per client contact hour, qualified,</t>
  </si>
  <si>
    <t>Netten &amp; Curtis (2006) p186 - Uprated</t>
  </si>
  <si>
    <t>Total Actual Savings</t>
  </si>
  <si>
    <t>% Actual Reduction of Risk</t>
  </si>
  <si>
    <t>Input Option</t>
  </si>
  <si>
    <t>USERS HAVE THE OPTION TO ONLY ENTER TOTAL</t>
  </si>
  <si>
    <t xml:space="preserve">INPUT COST PER YEAR </t>
  </si>
  <si>
    <t>Persistent Absentee</t>
  </si>
  <si>
    <t>Visit to a GP surgery</t>
  </si>
  <si>
    <t>CAHMS</t>
  </si>
  <si>
    <t>Specialist midwife</t>
  </si>
  <si>
    <t>Practice Nurse</t>
  </si>
  <si>
    <t>£9/consultation</t>
  </si>
  <si>
    <t>PSSRU Unit Costs of Health and Social Care 2010</t>
  </si>
  <si>
    <t>Practice Nurse Home Visit</t>
  </si>
  <si>
    <t>£13/visit</t>
  </si>
  <si>
    <t>PSSRU 2010, Weighted average of all outpatient procedures</t>
  </si>
  <si>
    <t>PSSRU 2010, Based on 11.7 minutes per visit, qualified rate</t>
  </si>
  <si>
    <t>PSSRU 2010, Based on 23.4 minutes, qualified rate, includes travel time</t>
  </si>
  <si>
    <t>£570/programme</t>
  </si>
  <si>
    <t>£821/programme</t>
  </si>
  <si>
    <t>£2,282/programme</t>
  </si>
  <si>
    <t>£3,423/programme</t>
  </si>
  <si>
    <t>Evaluation of intensive family support projects in Scotland - uprated</t>
  </si>
  <si>
    <t>£1,854/episode</t>
  </si>
  <si>
    <t>£11,686/exclusion</t>
  </si>
  <si>
    <t>NOT USED</t>
  </si>
  <si>
    <t>Cost Type</t>
  </si>
  <si>
    <r>
      <t xml:space="preserve">Extra Lines
</t>
    </r>
    <r>
      <rPr>
        <b/>
        <sz val="11"/>
        <color indexed="10"/>
        <rFont val="Arial"/>
        <family val="2"/>
      </rPr>
      <t>Please note that only cost type 'Other' will be shown in the Sub Total below as all other costs will be added to the relevant Sub Totals above.</t>
    </r>
  </si>
  <si>
    <t>Other</t>
  </si>
  <si>
    <t>Sarah Jones</t>
  </si>
  <si>
    <t>John Smith</t>
  </si>
  <si>
    <t>Truancy</t>
  </si>
  <si>
    <t>Mother</t>
  </si>
  <si>
    <t>Child A</t>
  </si>
  <si>
    <t>Sum of Chart Data</t>
  </si>
  <si>
    <t>Grand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</si>
</sst>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quot;£&quot;#,##0_);[Red]\(&quot;£&quot;#,##0\)"/>
    <numFmt numFmtId="165" formatCode="&quot;£&quot;#,##0.00_);\(&quot;£&quot;#,##0.00\)"/>
    <numFmt numFmtId="166" formatCode="&quot;£&quot;#,##0.00_);[Red]\(&quot;£&quot;#,##0.00\)"/>
    <numFmt numFmtId="167" formatCode="&quot;£&quot;#,##0.00"/>
    <numFmt numFmtId="168" formatCode="&quot;£&quot;#,##0"/>
    <numFmt numFmtId="169" formatCode="#,##0.00;\(#,##0.00\)"/>
  </numFmts>
  <fonts count="58" x14ac:knownFonts="1">
    <font>
      <sz val="10"/>
      <name val="Arial"/>
    </font>
    <font>
      <sz val="10"/>
      <name val="Arial"/>
      <family val="2"/>
    </font>
    <font>
      <sz val="10"/>
      <name val="Times New Roman"/>
      <family val="1"/>
    </font>
    <font>
      <b/>
      <sz val="10"/>
      <name val="Arial"/>
      <family val="2"/>
    </font>
    <font>
      <sz val="8"/>
      <name val="Arial"/>
      <family val="2"/>
    </font>
    <font>
      <sz val="10"/>
      <name val="Arial"/>
      <family val="2"/>
    </font>
    <font>
      <i/>
      <sz val="10"/>
      <name val="Arial"/>
      <family val="2"/>
    </font>
    <font>
      <b/>
      <sz val="14"/>
      <name val="Arial"/>
      <family val="2"/>
    </font>
    <font>
      <u/>
      <sz val="8.5"/>
      <color indexed="12"/>
      <name val="Arial"/>
      <family val="2"/>
    </font>
    <font>
      <sz val="10"/>
      <name val="Symbol"/>
      <family val="1"/>
      <charset val="2"/>
    </font>
    <font>
      <b/>
      <sz val="10"/>
      <color indexed="9"/>
      <name val="Arial"/>
      <family val="2"/>
    </font>
    <font>
      <b/>
      <sz val="11"/>
      <name val="Arial"/>
      <family val="2"/>
    </font>
    <font>
      <sz val="11"/>
      <name val="Arial"/>
      <family val="2"/>
    </font>
    <font>
      <sz val="11"/>
      <name val="Arial"/>
      <family val="2"/>
    </font>
    <font>
      <b/>
      <sz val="12"/>
      <name val="Arial"/>
      <family val="2"/>
    </font>
    <font>
      <b/>
      <u/>
      <sz val="11"/>
      <name val="Arial"/>
      <family val="2"/>
    </font>
    <font>
      <b/>
      <sz val="8"/>
      <color indexed="81"/>
      <name val="Tahoma"/>
      <family val="2"/>
    </font>
    <font>
      <b/>
      <sz val="10"/>
      <color indexed="12"/>
      <name val="Arial"/>
      <family val="2"/>
    </font>
    <font>
      <b/>
      <i/>
      <sz val="10"/>
      <name val="Arial"/>
      <family val="2"/>
    </font>
    <font>
      <sz val="8"/>
      <color indexed="63"/>
      <name val="Arial"/>
      <family val="2"/>
    </font>
    <font>
      <sz val="10"/>
      <color indexed="31"/>
      <name val="Arial"/>
      <family val="2"/>
    </font>
    <font>
      <sz val="10"/>
      <color indexed="9"/>
      <name val="Arial"/>
      <family val="2"/>
    </font>
    <font>
      <i/>
      <sz val="10"/>
      <color indexed="23"/>
      <name val="Arial"/>
      <family val="2"/>
    </font>
    <font>
      <b/>
      <u/>
      <sz val="10"/>
      <name val="Arial"/>
      <family val="2"/>
    </font>
    <font>
      <b/>
      <sz val="12"/>
      <color indexed="9"/>
      <name val="Arial"/>
      <family val="2"/>
    </font>
    <font>
      <sz val="10"/>
      <color indexed="62"/>
      <name val="Arial"/>
      <family val="2"/>
    </font>
    <font>
      <sz val="9"/>
      <name val="Arial"/>
      <family val="2"/>
    </font>
    <font>
      <b/>
      <sz val="9"/>
      <name val="Arial"/>
      <family val="2"/>
    </font>
    <font>
      <sz val="10"/>
      <color indexed="44"/>
      <name val="Arial"/>
      <family val="2"/>
    </font>
    <font>
      <b/>
      <sz val="10"/>
      <color indexed="10"/>
      <name val="Arial"/>
      <family val="2"/>
    </font>
    <font>
      <u/>
      <sz val="8.5"/>
      <color indexed="44"/>
      <name val="Arial"/>
      <family val="2"/>
    </font>
    <font>
      <b/>
      <sz val="11"/>
      <color indexed="8"/>
      <name val="Arial"/>
      <family val="2"/>
    </font>
    <font>
      <sz val="9"/>
      <color indexed="8"/>
      <name val="Arial"/>
      <family val="2"/>
    </font>
    <font>
      <sz val="12"/>
      <name val="Arial"/>
      <family val="2"/>
    </font>
    <font>
      <b/>
      <i/>
      <sz val="12"/>
      <color indexed="12"/>
      <name val="Arial"/>
      <family val="2"/>
    </font>
    <font>
      <sz val="11"/>
      <color indexed="9"/>
      <name val="Arial"/>
      <family val="2"/>
    </font>
    <font>
      <b/>
      <sz val="9"/>
      <color indexed="9"/>
      <name val="Arial"/>
      <family val="2"/>
    </font>
    <font>
      <sz val="9"/>
      <color indexed="9"/>
      <name val="Arial"/>
      <family val="2"/>
    </font>
    <font>
      <b/>
      <sz val="9"/>
      <name val="Arial"/>
      <family val="2"/>
    </font>
    <font>
      <b/>
      <sz val="11"/>
      <name val="Arial"/>
      <family val="2"/>
    </font>
    <font>
      <sz val="9"/>
      <name val="Arial"/>
      <family val="2"/>
    </font>
    <font>
      <b/>
      <sz val="18"/>
      <color indexed="9"/>
      <name val="Arial"/>
      <family val="2"/>
    </font>
    <font>
      <b/>
      <sz val="12"/>
      <color indexed="9"/>
      <name val="Arial"/>
      <family val="2"/>
    </font>
    <font>
      <b/>
      <i/>
      <sz val="10"/>
      <color indexed="9"/>
      <name val="Arial"/>
      <family val="2"/>
    </font>
    <font>
      <b/>
      <u/>
      <sz val="11"/>
      <name val="Arial"/>
      <family val="2"/>
    </font>
    <font>
      <b/>
      <sz val="10"/>
      <name val="Arial"/>
      <family val="2"/>
    </font>
    <font>
      <sz val="10"/>
      <color indexed="9"/>
      <name val="Arial"/>
      <family val="2"/>
    </font>
    <font>
      <sz val="8"/>
      <color indexed="9"/>
      <name val="Arial"/>
      <family val="2"/>
    </font>
    <font>
      <b/>
      <sz val="16"/>
      <color indexed="9"/>
      <name val="Arial"/>
      <family val="2"/>
    </font>
    <font>
      <b/>
      <sz val="11"/>
      <color indexed="9"/>
      <name val="Arial"/>
      <family val="2"/>
    </font>
    <font>
      <b/>
      <sz val="10"/>
      <color indexed="81"/>
      <name val="Tahoma"/>
      <family val="2"/>
    </font>
    <font>
      <b/>
      <u/>
      <sz val="10"/>
      <color indexed="81"/>
      <name val="Tahoma"/>
      <family val="2"/>
    </font>
    <font>
      <b/>
      <sz val="11"/>
      <color indexed="10"/>
      <name val="Arial"/>
      <family val="2"/>
    </font>
    <font>
      <u/>
      <sz val="8.5"/>
      <color indexed="11"/>
      <name val="Arial"/>
      <family val="2"/>
    </font>
    <font>
      <sz val="8"/>
      <color indexed="81"/>
      <name val="Tahoma"/>
      <family val="2"/>
    </font>
    <font>
      <b/>
      <u/>
      <sz val="11"/>
      <color indexed="12"/>
      <name val="Arial"/>
      <family val="2"/>
    </font>
    <font>
      <b/>
      <sz val="10"/>
      <color indexed="12"/>
      <name val="Arial"/>
      <family val="2"/>
    </font>
    <font>
      <sz val="8"/>
      <color rgb="FF000000"/>
      <name val="MS Shell Dlg"/>
    </font>
  </fonts>
  <fills count="14">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42"/>
        <bgColor indexed="64"/>
      </patternFill>
    </fill>
    <fill>
      <patternFill patternType="solid">
        <fgColor indexed="44"/>
        <bgColor indexed="64"/>
      </patternFill>
    </fill>
    <fill>
      <patternFill patternType="solid">
        <fgColor indexed="62"/>
        <bgColor indexed="64"/>
      </patternFill>
    </fill>
    <fill>
      <patternFill patternType="solid">
        <fgColor indexed="26"/>
        <bgColor indexed="64"/>
      </patternFill>
    </fill>
    <fill>
      <patternFill patternType="solid">
        <fgColor indexed="63"/>
        <bgColor indexed="64"/>
      </patternFill>
    </fill>
    <fill>
      <patternFill patternType="solid">
        <fgColor indexed="18"/>
        <bgColor indexed="64"/>
      </patternFill>
    </fill>
    <fill>
      <patternFill patternType="solid">
        <fgColor indexed="40"/>
        <bgColor indexed="64"/>
      </patternFill>
    </fill>
    <fill>
      <patternFill patternType="solid">
        <fgColor indexed="56"/>
        <bgColor indexed="64"/>
      </patternFill>
    </fill>
  </fills>
  <borders count="57">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8"/>
      </left>
      <right/>
      <top style="thin">
        <color indexed="8"/>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3"/>
      </left>
      <right/>
      <top style="medium">
        <color indexed="63"/>
      </top>
      <bottom style="medium">
        <color indexed="63"/>
      </bottom>
      <diagonal/>
    </border>
    <border>
      <left/>
      <right/>
      <top style="medium">
        <color indexed="63"/>
      </top>
      <bottom style="medium">
        <color indexed="63"/>
      </bottom>
      <diagonal/>
    </border>
    <border>
      <left/>
      <right style="medium">
        <color indexed="63"/>
      </right>
      <top style="medium">
        <color indexed="63"/>
      </top>
      <bottom style="medium">
        <color indexed="63"/>
      </bottom>
      <diagonal/>
    </border>
    <border>
      <left/>
      <right style="medium">
        <color indexed="63"/>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9"/>
      </left>
      <right style="medium">
        <color indexed="9"/>
      </right>
      <top style="medium">
        <color indexed="9"/>
      </top>
      <bottom/>
      <diagonal/>
    </border>
    <border>
      <left style="medium">
        <color indexed="9"/>
      </left>
      <right/>
      <top style="medium">
        <color indexed="9"/>
      </top>
      <bottom/>
      <diagonal/>
    </border>
    <border>
      <left/>
      <right/>
      <top style="medium">
        <color indexed="9"/>
      </top>
      <bottom/>
      <diagonal/>
    </border>
    <border>
      <left style="medium">
        <color indexed="9"/>
      </left>
      <right/>
      <top/>
      <bottom/>
      <diagonal/>
    </border>
    <border>
      <left/>
      <right style="medium">
        <color indexed="9"/>
      </right>
      <top/>
      <bottom/>
      <diagonal/>
    </border>
    <border>
      <left style="medium">
        <color indexed="9"/>
      </left>
      <right style="thick">
        <color indexed="9"/>
      </right>
      <top style="medium">
        <color indexed="9"/>
      </top>
      <bottom/>
      <diagonal/>
    </border>
    <border>
      <left/>
      <right style="medium">
        <color indexed="9"/>
      </right>
      <top style="medium">
        <color indexed="9"/>
      </top>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3"/>
      </left>
      <right style="medium">
        <color indexed="63"/>
      </right>
      <top style="medium">
        <color indexed="63"/>
      </top>
      <bottom/>
      <diagonal/>
    </border>
    <border>
      <left style="medium">
        <color indexed="63"/>
      </left>
      <right style="medium">
        <color indexed="63"/>
      </right>
      <top/>
      <bottom/>
      <diagonal/>
    </border>
    <border>
      <left style="medium">
        <color indexed="63"/>
      </left>
      <right style="medium">
        <color indexed="63"/>
      </right>
      <top style="thin">
        <color indexed="64"/>
      </top>
      <bottom style="medium">
        <color indexed="64"/>
      </bottom>
      <diagonal/>
    </border>
    <border>
      <left style="medium">
        <color indexed="9"/>
      </left>
      <right/>
      <top style="medium">
        <color indexed="64"/>
      </top>
      <bottom style="medium">
        <color indexed="64"/>
      </bottom>
      <diagonal/>
    </border>
    <border>
      <left style="medium">
        <color indexed="9"/>
      </left>
      <right/>
      <top/>
      <bottom style="medium">
        <color indexed="64"/>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s>
  <cellStyleXfs count="4">
    <xf numFmtId="0" fontId="0" fillId="0" borderId="0"/>
    <xf numFmtId="0" fontId="53"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9" fontId="1" fillId="0" borderId="0" applyFont="0" applyFill="0" applyBorder="0" applyAlignment="0" applyProtection="0"/>
  </cellStyleXfs>
  <cellXfs count="367">
    <xf numFmtId="0" fontId="0" fillId="0" borderId="0" xfId="0"/>
    <xf numFmtId="0" fontId="0" fillId="2" borderId="0" xfId="0" applyFill="1"/>
    <xf numFmtId="0" fontId="0" fillId="2" borderId="1" xfId="0" applyFill="1" applyBorder="1"/>
    <xf numFmtId="0" fontId="0" fillId="2" borderId="2" xfId="0" applyFill="1" applyBorder="1"/>
    <xf numFmtId="0" fontId="0" fillId="2" borderId="0"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3" fillId="2" borderId="0" xfId="0" applyFont="1" applyFill="1" applyBorder="1"/>
    <xf numFmtId="0" fontId="0" fillId="2" borderId="7" xfId="0" applyFill="1" applyBorder="1"/>
    <xf numFmtId="0" fontId="0" fillId="2" borderId="8" xfId="0" applyFill="1" applyBorder="1"/>
    <xf numFmtId="0" fontId="0" fillId="3" borderId="0" xfId="0" applyFill="1"/>
    <xf numFmtId="0" fontId="0" fillId="4" borderId="0" xfId="0" applyFill="1"/>
    <xf numFmtId="0" fontId="0" fillId="5" borderId="0" xfId="0" applyFill="1"/>
    <xf numFmtId="0" fontId="0" fillId="6" borderId="0" xfId="0" applyFill="1"/>
    <xf numFmtId="0" fontId="0" fillId="0" borderId="9" xfId="0" applyBorder="1"/>
    <xf numFmtId="0" fontId="3" fillId="0" borderId="0" xfId="0" applyFont="1"/>
    <xf numFmtId="0" fontId="3" fillId="4" borderId="0" xfId="0" applyFont="1" applyFill="1"/>
    <xf numFmtId="0" fontId="3" fillId="3" borderId="0" xfId="0" applyFont="1" applyFill="1"/>
    <xf numFmtId="0" fontId="3" fillId="5" borderId="0" xfId="0" applyFont="1" applyFill="1"/>
    <xf numFmtId="0" fontId="3" fillId="6" borderId="0" xfId="0" applyFont="1" applyFill="1"/>
    <xf numFmtId="165" fontId="0" fillId="0" borderId="0" xfId="0" applyNumberFormat="1"/>
    <xf numFmtId="0" fontId="0" fillId="7" borderId="8" xfId="0" applyFill="1" applyBorder="1"/>
    <xf numFmtId="0" fontId="0" fillId="7" borderId="1" xfId="0" applyFill="1" applyBorder="1"/>
    <xf numFmtId="0" fontId="0" fillId="7" borderId="2" xfId="0" applyFill="1" applyBorder="1"/>
    <xf numFmtId="0" fontId="0" fillId="7" borderId="7" xfId="0" applyFill="1" applyBorder="1"/>
    <xf numFmtId="0" fontId="11" fillId="7" borderId="0" xfId="0" applyFont="1" applyFill="1" applyBorder="1"/>
    <xf numFmtId="0" fontId="0" fillId="7" borderId="0" xfId="0" applyFill="1" applyBorder="1"/>
    <xf numFmtId="164" fontId="11" fillId="7" borderId="0" xfId="0" applyNumberFormat="1" applyFont="1" applyFill="1" applyBorder="1"/>
    <xf numFmtId="0" fontId="0" fillId="7" borderId="3" xfId="0" applyFill="1" applyBorder="1"/>
    <xf numFmtId="0" fontId="11" fillId="7" borderId="0" xfId="0" applyFont="1" applyFill="1" applyBorder="1" applyAlignment="1">
      <alignment vertical="top"/>
    </xf>
    <xf numFmtId="0" fontId="0" fillId="7" borderId="0" xfId="0" applyFill="1" applyBorder="1" applyAlignment="1">
      <alignment vertical="top"/>
    </xf>
    <xf numFmtId="164" fontId="11" fillId="7" borderId="0" xfId="0" applyNumberFormat="1" applyFont="1" applyFill="1" applyBorder="1" applyAlignment="1">
      <alignment vertical="top"/>
    </xf>
    <xf numFmtId="164" fontId="0" fillId="7" borderId="0" xfId="0" applyNumberFormat="1" applyFill="1" applyBorder="1"/>
    <xf numFmtId="168" fontId="0" fillId="7" borderId="0" xfId="0" applyNumberFormat="1" applyFill="1" applyBorder="1"/>
    <xf numFmtId="0" fontId="0" fillId="7" borderId="4" xfId="0" applyFill="1" applyBorder="1"/>
    <xf numFmtId="0" fontId="0" fillId="7" borderId="5" xfId="0" applyFill="1" applyBorder="1"/>
    <xf numFmtId="0" fontId="0" fillId="7" borderId="6" xfId="0" applyFill="1" applyBorder="1"/>
    <xf numFmtId="0" fontId="3" fillId="2" borderId="3" xfId="0" applyFont="1" applyFill="1" applyBorder="1"/>
    <xf numFmtId="0" fontId="3" fillId="2" borderId="3" xfId="0" applyFont="1" applyFill="1" applyBorder="1" applyProtection="1">
      <protection locked="0"/>
    </xf>
    <xf numFmtId="168" fontId="0" fillId="2" borderId="0" xfId="0" applyNumberFormat="1" applyFill="1" applyBorder="1"/>
    <xf numFmtId="0" fontId="13" fillId="0" borderId="0" xfId="0" applyFont="1" applyFill="1" applyBorder="1"/>
    <xf numFmtId="0" fontId="22" fillId="2" borderId="0" xfId="0" applyFont="1" applyFill="1" applyBorder="1"/>
    <xf numFmtId="0" fontId="3" fillId="2" borderId="10" xfId="0" applyFont="1" applyFill="1" applyBorder="1" applyAlignment="1">
      <alignment vertical="center"/>
    </xf>
    <xf numFmtId="0" fontId="0" fillId="2" borderId="10" xfId="0" applyFill="1" applyBorder="1" applyAlignment="1">
      <alignment vertical="center"/>
    </xf>
    <xf numFmtId="168" fontId="3" fillId="2" borderId="10" xfId="0" applyNumberFormat="1" applyFont="1" applyFill="1" applyBorder="1" applyAlignment="1">
      <alignment vertical="center"/>
    </xf>
    <xf numFmtId="0" fontId="0" fillId="2" borderId="11" xfId="0" applyFill="1" applyBorder="1" applyAlignment="1" applyProtection="1">
      <alignment horizontal="center" vertical="center"/>
      <protection locked="0"/>
    </xf>
    <xf numFmtId="0" fontId="23" fillId="7" borderId="0" xfId="0" applyFont="1" applyFill="1" applyBorder="1"/>
    <xf numFmtId="0" fontId="21" fillId="2" borderId="0" xfId="0" applyFont="1" applyFill="1" applyBorder="1"/>
    <xf numFmtId="0" fontId="21" fillId="2" borderId="3" xfId="0" applyFont="1" applyFill="1" applyBorder="1"/>
    <xf numFmtId="0" fontId="3" fillId="2" borderId="0" xfId="0" applyFont="1" applyFill="1" applyBorder="1" applyAlignment="1">
      <alignment horizontal="left" wrapText="1" indent="1"/>
    </xf>
    <xf numFmtId="0" fontId="0" fillId="2" borderId="0" xfId="0" applyNumberFormat="1" applyFill="1" applyBorder="1"/>
    <xf numFmtId="0" fontId="3" fillId="2" borderId="0" xfId="0" applyFont="1" applyFill="1" applyBorder="1" applyAlignment="1">
      <alignment horizontal="left" indent="1"/>
    </xf>
    <xf numFmtId="0" fontId="21" fillId="8" borderId="7" xfId="0" applyFont="1" applyFill="1" applyBorder="1"/>
    <xf numFmtId="0" fontId="21" fillId="8" borderId="0" xfId="0" applyFont="1" applyFill="1" applyBorder="1"/>
    <xf numFmtId="0" fontId="21" fillId="8" borderId="3" xfId="0" applyFont="1" applyFill="1" applyBorder="1"/>
    <xf numFmtId="0" fontId="24" fillId="8" borderId="0" xfId="0" applyFont="1" applyFill="1" applyBorder="1" applyAlignment="1">
      <alignment vertical="center"/>
    </xf>
    <xf numFmtId="0" fontId="0" fillId="2" borderId="11" xfId="0" applyNumberFormat="1" applyFill="1" applyBorder="1" applyAlignment="1" applyProtection="1">
      <alignment horizontal="center" vertical="center"/>
      <protection locked="0"/>
    </xf>
    <xf numFmtId="0" fontId="0" fillId="2" borderId="0" xfId="0" applyNumberFormat="1" applyFill="1" applyBorder="1" applyAlignment="1" applyProtection="1">
      <alignment horizontal="center" vertical="center"/>
      <protection locked="0"/>
    </xf>
    <xf numFmtId="0" fontId="5" fillId="9" borderId="12" xfId="0" applyFont="1" applyFill="1" applyBorder="1" applyAlignment="1" applyProtection="1">
      <alignment horizontal="center" vertical="center"/>
      <protection locked="0"/>
    </xf>
    <xf numFmtId="0" fontId="5" fillId="9" borderId="13" xfId="0" applyFont="1" applyFill="1" applyBorder="1" applyAlignment="1" applyProtection="1">
      <alignment horizontal="center" vertical="center"/>
      <protection locked="0"/>
    </xf>
    <xf numFmtId="0" fontId="10" fillId="10" borderId="14" xfId="0" applyFont="1" applyFill="1" applyBorder="1" applyAlignment="1">
      <alignment horizontal="center" vertical="center"/>
    </xf>
    <xf numFmtId="0" fontId="10" fillId="10" borderId="15" xfId="0" applyFont="1" applyFill="1" applyBorder="1" applyAlignment="1">
      <alignment horizontal="center" vertical="center"/>
    </xf>
    <xf numFmtId="0" fontId="10" fillId="10" borderId="16" xfId="0" applyFont="1" applyFill="1" applyBorder="1" applyAlignment="1">
      <alignment horizontal="center" vertical="center"/>
    </xf>
    <xf numFmtId="0" fontId="25" fillId="8" borderId="0" xfId="0" applyFont="1" applyFill="1" applyBorder="1" applyProtection="1">
      <protection locked="0"/>
    </xf>
    <xf numFmtId="0" fontId="0" fillId="6" borderId="13" xfId="0" applyFill="1" applyBorder="1"/>
    <xf numFmtId="0" fontId="5" fillId="9" borderId="17" xfId="0" applyFont="1" applyFill="1" applyBorder="1" applyAlignment="1" applyProtection="1">
      <alignment horizontal="center" vertical="center"/>
      <protection locked="0"/>
    </xf>
    <xf numFmtId="0" fontId="13" fillId="0" borderId="0" xfId="0" applyFont="1"/>
    <xf numFmtId="167" fontId="13" fillId="0" borderId="0" xfId="0" applyNumberFormat="1" applyFont="1"/>
    <xf numFmtId="168" fontId="13" fillId="0" borderId="0" xfId="0" applyNumberFormat="1" applyFont="1"/>
    <xf numFmtId="0" fontId="13" fillId="0" borderId="0" xfId="0" applyNumberFormat="1" applyFont="1"/>
    <xf numFmtId="0" fontId="0" fillId="0" borderId="13" xfId="0" applyBorder="1"/>
    <xf numFmtId="0" fontId="0" fillId="4" borderId="13" xfId="0" applyFill="1" applyBorder="1"/>
    <xf numFmtId="0" fontId="0" fillId="3" borderId="13" xfId="0" applyFill="1" applyBorder="1"/>
    <xf numFmtId="0" fontId="0" fillId="5" borderId="13" xfId="0" applyFill="1" applyBorder="1"/>
    <xf numFmtId="0" fontId="28" fillId="7" borderId="0" xfId="0" applyFont="1" applyFill="1" applyBorder="1"/>
    <xf numFmtId="0" fontId="3" fillId="0" borderId="0" xfId="0" applyFont="1" applyFill="1"/>
    <xf numFmtId="0" fontId="0" fillId="0" borderId="0" xfId="0" applyFill="1"/>
    <xf numFmtId="168" fontId="0" fillId="0" borderId="0" xfId="0" applyNumberFormat="1"/>
    <xf numFmtId="0" fontId="0" fillId="2" borderId="18" xfId="0" applyFill="1" applyBorder="1"/>
    <xf numFmtId="0" fontId="0" fillId="2" borderId="19" xfId="0" applyFill="1" applyBorder="1"/>
    <xf numFmtId="0" fontId="0" fillId="2" borderId="20" xfId="0" applyFill="1" applyBorder="1"/>
    <xf numFmtId="0" fontId="0" fillId="2" borderId="21" xfId="0" applyFill="1" applyBorder="1"/>
    <xf numFmtId="0" fontId="0" fillId="2" borderId="22" xfId="0" applyFill="1" applyBorder="1"/>
    <xf numFmtId="0" fontId="0" fillId="2" borderId="12" xfId="0" applyFill="1" applyBorder="1"/>
    <xf numFmtId="0" fontId="0" fillId="2" borderId="13" xfId="0" applyFill="1" applyBorder="1"/>
    <xf numFmtId="0" fontId="0" fillId="2" borderId="23" xfId="0" applyFill="1" applyBorder="1"/>
    <xf numFmtId="168" fontId="33" fillId="2" borderId="7" xfId="0" applyNumberFormat="1" applyFont="1" applyFill="1" applyBorder="1" applyAlignment="1">
      <alignment horizontal="left"/>
    </xf>
    <xf numFmtId="0" fontId="6" fillId="2" borderId="2" xfId="0" applyFont="1" applyFill="1" applyBorder="1"/>
    <xf numFmtId="0" fontId="34" fillId="2" borderId="8" xfId="0" applyFont="1" applyFill="1" applyBorder="1"/>
    <xf numFmtId="0" fontId="34" fillId="2" borderId="7" xfId="0" applyFont="1" applyFill="1" applyBorder="1"/>
    <xf numFmtId="0" fontId="0" fillId="2" borderId="0" xfId="0" applyFill="1" applyBorder="1" applyAlignment="1">
      <alignment horizontal="right"/>
    </xf>
    <xf numFmtId="0" fontId="32" fillId="2" borderId="21" xfId="0" applyFont="1" applyFill="1" applyBorder="1"/>
    <xf numFmtId="0" fontId="31" fillId="2" borderId="0" xfId="0" applyFont="1" applyFill="1" applyBorder="1"/>
    <xf numFmtId="167" fontId="31" fillId="2" borderId="0" xfId="0" applyNumberFormat="1" applyFont="1" applyFill="1" applyBorder="1" applyAlignment="1">
      <alignment horizontal="right"/>
    </xf>
    <xf numFmtId="0" fontId="0" fillId="2" borderId="13" xfId="0" applyFill="1" applyBorder="1" applyAlignment="1">
      <alignment horizontal="right"/>
    </xf>
    <xf numFmtId="0" fontId="3" fillId="2" borderId="0" xfId="0" applyFont="1" applyFill="1"/>
    <xf numFmtId="0" fontId="14" fillId="7" borderId="0" xfId="0" applyFont="1" applyFill="1" applyBorder="1"/>
    <xf numFmtId="0" fontId="11" fillId="7" borderId="0" xfId="0" applyFont="1" applyFill="1"/>
    <xf numFmtId="0" fontId="30" fillId="7" borderId="0" xfId="2" quotePrefix="1" applyFont="1" applyFill="1" applyAlignment="1" applyProtection="1"/>
    <xf numFmtId="0" fontId="28" fillId="7" borderId="3" xfId="0" applyFont="1" applyFill="1" applyBorder="1" applyProtection="1">
      <protection locked="0"/>
    </xf>
    <xf numFmtId="0" fontId="12" fillId="7" borderId="0" xfId="0" applyFont="1" applyFill="1" applyBorder="1"/>
    <xf numFmtId="0" fontId="20" fillId="7" borderId="3" xfId="0" applyFont="1" applyFill="1" applyBorder="1"/>
    <xf numFmtId="0" fontId="28" fillId="7" borderId="3" xfId="0" applyFont="1" applyFill="1" applyBorder="1"/>
    <xf numFmtId="0" fontId="13" fillId="7" borderId="0" xfId="0" applyFont="1" applyFill="1" applyBorder="1" applyAlignment="1">
      <alignment horizontal="left"/>
    </xf>
    <xf numFmtId="0" fontId="0" fillId="7" borderId="0" xfId="0" applyFill="1"/>
    <xf numFmtId="0" fontId="15" fillId="7" borderId="0" xfId="0" applyFont="1" applyFill="1" applyBorder="1"/>
    <xf numFmtId="167" fontId="11" fillId="7" borderId="0" xfId="0" applyNumberFormat="1" applyFont="1" applyFill="1" applyBorder="1" applyAlignment="1">
      <alignment horizontal="right"/>
    </xf>
    <xf numFmtId="0" fontId="13" fillId="7" borderId="0" xfId="0" applyFont="1" applyFill="1" applyBorder="1"/>
    <xf numFmtId="167" fontId="12" fillId="7" borderId="0" xfId="0" applyNumberFormat="1" applyFont="1" applyFill="1" applyBorder="1" applyAlignment="1">
      <alignment horizontal="right"/>
    </xf>
    <xf numFmtId="0" fontId="0" fillId="11" borderId="8" xfId="0" applyFill="1" applyBorder="1"/>
    <xf numFmtId="0" fontId="0" fillId="11" borderId="1" xfId="0" applyFill="1" applyBorder="1"/>
    <xf numFmtId="0" fontId="0" fillId="11" borderId="2" xfId="0" applyFill="1" applyBorder="1"/>
    <xf numFmtId="0" fontId="0" fillId="11" borderId="7" xfId="0" applyFill="1" applyBorder="1"/>
    <xf numFmtId="0" fontId="0" fillId="11" borderId="0" xfId="0" applyFill="1" applyBorder="1"/>
    <xf numFmtId="0" fontId="19" fillId="11" borderId="0" xfId="0" applyFont="1" applyFill="1"/>
    <xf numFmtId="0" fontId="29" fillId="11" borderId="0" xfId="0" applyFont="1" applyFill="1" applyBorder="1"/>
    <xf numFmtId="0" fontId="3" fillId="11" borderId="0" xfId="0" applyFont="1" applyFill="1" applyBorder="1"/>
    <xf numFmtId="0" fontId="0" fillId="11" borderId="3" xfId="0" applyFill="1" applyBorder="1"/>
    <xf numFmtId="0" fontId="0" fillId="11" borderId="4" xfId="0" applyFill="1" applyBorder="1"/>
    <xf numFmtId="0" fontId="0" fillId="11" borderId="5" xfId="0" applyFill="1" applyBorder="1"/>
    <xf numFmtId="0" fontId="3" fillId="11" borderId="5" xfId="0" applyFont="1" applyFill="1" applyBorder="1"/>
    <xf numFmtId="0" fontId="0" fillId="11" borderId="6" xfId="0" applyFill="1" applyBorder="1"/>
    <xf numFmtId="0" fontId="41" fillId="11" borderId="1" xfId="0" applyFont="1" applyFill="1" applyBorder="1" applyAlignment="1">
      <alignment horizontal="left"/>
    </xf>
    <xf numFmtId="0" fontId="42" fillId="11" borderId="0" xfId="0" applyFont="1" applyFill="1" applyBorder="1" applyAlignment="1">
      <alignment horizontal="centerContinuous" vertical="center"/>
    </xf>
    <xf numFmtId="0" fontId="43" fillId="11" borderId="0" xfId="0" applyFont="1" applyFill="1" applyBorder="1" applyAlignment="1">
      <alignment horizontal="left"/>
    </xf>
    <xf numFmtId="0" fontId="7" fillId="2" borderId="0" xfId="0" applyFont="1" applyFill="1" applyBorder="1" applyAlignment="1">
      <alignment horizontal="center" vertical="center"/>
    </xf>
    <xf numFmtId="0" fontId="21" fillId="7" borderId="18" xfId="0" applyFont="1" applyFill="1" applyBorder="1"/>
    <xf numFmtId="0" fontId="21" fillId="7" borderId="19" xfId="0" applyFont="1" applyFill="1" applyBorder="1"/>
    <xf numFmtId="0" fontId="21" fillId="7" borderId="19" xfId="0" applyFont="1" applyFill="1" applyBorder="1" applyAlignment="1">
      <alignment horizontal="right"/>
    </xf>
    <xf numFmtId="0" fontId="21" fillId="7" borderId="20" xfId="0" applyFont="1" applyFill="1" applyBorder="1"/>
    <xf numFmtId="0" fontId="35" fillId="7" borderId="21" xfId="0" applyFont="1" applyFill="1" applyBorder="1"/>
    <xf numFmtId="0" fontId="21" fillId="7" borderId="0" xfId="0" applyFont="1" applyFill="1" applyBorder="1"/>
    <xf numFmtId="0" fontId="21" fillId="7" borderId="22" xfId="0" applyFont="1" applyFill="1" applyBorder="1"/>
    <xf numFmtId="0" fontId="21" fillId="7" borderId="21" xfId="0" applyFont="1" applyFill="1" applyBorder="1"/>
    <xf numFmtId="167" fontId="37" fillId="7" borderId="0" xfId="0" applyNumberFormat="1" applyFont="1" applyFill="1" applyBorder="1" applyAlignment="1">
      <alignment horizontal="right"/>
    </xf>
    <xf numFmtId="0" fontId="37" fillId="7" borderId="21" xfId="0" applyFont="1" applyFill="1" applyBorder="1"/>
    <xf numFmtId="167" fontId="38" fillId="7" borderId="0" xfId="0" applyNumberFormat="1" applyFont="1" applyFill="1" applyBorder="1" applyAlignment="1">
      <alignment horizontal="right"/>
    </xf>
    <xf numFmtId="169" fontId="36" fillId="7" borderId="0" xfId="0" applyNumberFormat="1" applyFont="1" applyFill="1" applyBorder="1" applyAlignment="1">
      <alignment horizontal="right"/>
    </xf>
    <xf numFmtId="169" fontId="37" fillId="7" borderId="0" xfId="0" applyNumberFormat="1" applyFont="1" applyFill="1" applyBorder="1" applyAlignment="1">
      <alignment horizontal="right"/>
    </xf>
    <xf numFmtId="0" fontId="37" fillId="7" borderId="21" xfId="0" quotePrefix="1" applyFont="1" applyFill="1" applyBorder="1"/>
    <xf numFmtId="167" fontId="35" fillId="7" borderId="0" xfId="0" applyNumberFormat="1" applyFont="1" applyFill="1" applyBorder="1" applyAlignment="1">
      <alignment horizontal="right"/>
    </xf>
    <xf numFmtId="0" fontId="37" fillId="7" borderId="12" xfId="0" applyFont="1" applyFill="1" applyBorder="1"/>
    <xf numFmtId="0" fontId="36" fillId="7" borderId="13" xfId="0" applyFont="1" applyFill="1" applyBorder="1"/>
    <xf numFmtId="167" fontId="36" fillId="7" borderId="13" xfId="0" applyNumberFormat="1" applyFont="1" applyFill="1" applyBorder="1" applyAlignment="1">
      <alignment horizontal="right"/>
    </xf>
    <xf numFmtId="0" fontId="21" fillId="7" borderId="23" xfId="0" applyFont="1" applyFill="1" applyBorder="1"/>
    <xf numFmtId="0" fontId="35" fillId="7" borderId="0" xfId="0" applyFont="1" applyFill="1" applyBorder="1" applyAlignment="1">
      <alignment horizontal="right"/>
    </xf>
    <xf numFmtId="168" fontId="39" fillId="7" borderId="0" xfId="0" applyNumberFormat="1" applyFont="1" applyFill="1" applyBorder="1" applyAlignment="1">
      <alignment horizontal="right"/>
    </xf>
    <xf numFmtId="0" fontId="21" fillId="7" borderId="13" xfId="0" applyFont="1" applyFill="1" applyBorder="1"/>
    <xf numFmtId="0" fontId="21" fillId="7" borderId="12" xfId="0" applyFont="1" applyFill="1" applyBorder="1"/>
    <xf numFmtId="0" fontId="44" fillId="7" borderId="0" xfId="0" applyFont="1" applyFill="1" applyBorder="1" applyAlignment="1">
      <alignment horizontal="left"/>
    </xf>
    <xf numFmtId="0" fontId="38" fillId="7" borderId="0" xfId="0" applyFont="1" applyFill="1" applyBorder="1"/>
    <xf numFmtId="0" fontId="40" fillId="7" borderId="0" xfId="0" applyFont="1" applyFill="1" applyBorder="1"/>
    <xf numFmtId="0" fontId="45" fillId="7" borderId="0" xfId="0" applyFont="1" applyFill="1" applyBorder="1"/>
    <xf numFmtId="0" fontId="39" fillId="7" borderId="0" xfId="0" applyFont="1" applyFill="1" applyBorder="1"/>
    <xf numFmtId="0" fontId="10" fillId="11" borderId="18" xfId="0" applyFont="1" applyFill="1" applyBorder="1"/>
    <xf numFmtId="0" fontId="46" fillId="11" borderId="19" xfId="0" applyFont="1" applyFill="1" applyBorder="1"/>
    <xf numFmtId="0" fontId="46" fillId="11" borderId="20" xfId="0" applyFont="1" applyFill="1" applyBorder="1"/>
    <xf numFmtId="0" fontId="46" fillId="11" borderId="21" xfId="0" applyFont="1" applyFill="1" applyBorder="1"/>
    <xf numFmtId="0" fontId="46" fillId="11" borderId="0" xfId="0" applyFont="1" applyFill="1" applyBorder="1"/>
    <xf numFmtId="0" fontId="46" fillId="11" borderId="22" xfId="0" applyFont="1" applyFill="1" applyBorder="1"/>
    <xf numFmtId="0" fontId="46" fillId="11" borderId="12" xfId="0" applyFont="1" applyFill="1" applyBorder="1"/>
    <xf numFmtId="0" fontId="46" fillId="11" borderId="13" xfId="0" applyFont="1" applyFill="1" applyBorder="1"/>
    <xf numFmtId="0" fontId="46" fillId="11" borderId="23" xfId="0" applyFont="1" applyFill="1" applyBorder="1"/>
    <xf numFmtId="0" fontId="0" fillId="7" borderId="11" xfId="0" applyFill="1" applyBorder="1"/>
    <xf numFmtId="0" fontId="41" fillId="11" borderId="24" xfId="0" applyFont="1" applyFill="1" applyBorder="1"/>
    <xf numFmtId="0" fontId="46" fillId="11" borderId="25" xfId="0" applyFont="1" applyFill="1" applyBorder="1"/>
    <xf numFmtId="0" fontId="46" fillId="11" borderId="26" xfId="0" applyFont="1" applyFill="1" applyBorder="1"/>
    <xf numFmtId="0" fontId="0" fillId="2" borderId="0" xfId="0" applyFill="1" applyAlignment="1">
      <alignment horizontal="center"/>
    </xf>
    <xf numFmtId="0" fontId="0" fillId="2" borderId="0" xfId="0" applyFill="1" applyAlignment="1">
      <alignment horizontal="left"/>
    </xf>
    <xf numFmtId="9" fontId="0" fillId="2" borderId="0" xfId="3" applyFont="1" applyFill="1" applyAlignment="1">
      <alignment horizontal="center"/>
    </xf>
    <xf numFmtId="167" fontId="0" fillId="2" borderId="0" xfId="0" applyNumberFormat="1" applyFill="1"/>
    <xf numFmtId="0" fontId="5" fillId="2" borderId="27" xfId="0" applyFont="1" applyFill="1" applyBorder="1" applyAlignment="1">
      <alignment horizontal="center" vertical="top"/>
    </xf>
    <xf numFmtId="0" fontId="5" fillId="2" borderId="28" xfId="0" applyFont="1" applyFill="1" applyBorder="1" applyAlignment="1">
      <alignment horizontal="justify" vertical="top"/>
    </xf>
    <xf numFmtId="0" fontId="5" fillId="2" borderId="29" xfId="0" applyFont="1" applyFill="1" applyBorder="1" applyAlignment="1">
      <alignment horizontal="center" vertical="top"/>
    </xf>
    <xf numFmtId="166" fontId="5" fillId="2" borderId="29" xfId="0" applyNumberFormat="1" applyFont="1" applyFill="1" applyBorder="1" applyAlignment="1">
      <alignment horizontal="center" vertical="top"/>
    </xf>
    <xf numFmtId="166" fontId="5" fillId="2" borderId="0" xfId="0" applyNumberFormat="1" applyFont="1" applyFill="1" applyBorder="1" applyAlignment="1">
      <alignment horizontal="center" vertical="top"/>
    </xf>
    <xf numFmtId="0" fontId="5" fillId="2" borderId="30" xfId="0" applyFont="1" applyFill="1" applyBorder="1" applyAlignment="1">
      <alignment horizontal="justify" vertical="top"/>
    </xf>
    <xf numFmtId="0" fontId="5" fillId="2" borderId="0" xfId="0" applyFont="1" applyFill="1" applyBorder="1" applyAlignment="1">
      <alignment horizontal="center" vertical="top"/>
    </xf>
    <xf numFmtId="0" fontId="0" fillId="2" borderId="0" xfId="0" applyFill="1" applyBorder="1" applyAlignment="1">
      <alignment horizontal="left"/>
    </xf>
    <xf numFmtId="9" fontId="0" fillId="2" borderId="0" xfId="3" applyFont="1" applyFill="1" applyBorder="1" applyAlignment="1">
      <alignment horizontal="center"/>
    </xf>
    <xf numFmtId="0" fontId="0" fillId="2" borderId="29" xfId="0" applyFill="1" applyBorder="1" applyAlignment="1">
      <alignment horizontal="left"/>
    </xf>
    <xf numFmtId="9" fontId="0" fillId="2" borderId="29" xfId="3" applyFont="1" applyFill="1" applyBorder="1" applyAlignment="1">
      <alignment horizontal="center"/>
    </xf>
    <xf numFmtId="0" fontId="5" fillId="2" borderId="27" xfId="0" applyFont="1" applyFill="1" applyBorder="1" applyAlignment="1">
      <alignment horizontal="left" vertical="center"/>
    </xf>
    <xf numFmtId="0" fontId="5" fillId="2" borderId="28" xfId="0" applyFont="1" applyFill="1" applyBorder="1" applyAlignment="1">
      <alignment horizontal="justify" vertical="top" wrapText="1"/>
    </xf>
    <xf numFmtId="0" fontId="5" fillId="2" borderId="29" xfId="0" applyFont="1" applyFill="1" applyBorder="1" applyAlignment="1">
      <alignment horizontal="center" vertical="top" wrapText="1"/>
    </xf>
    <xf numFmtId="166" fontId="5" fillId="2" borderId="29" xfId="0" applyNumberFormat="1" applyFont="1" applyFill="1" applyBorder="1" applyAlignment="1">
      <alignment horizontal="center" vertical="top" wrapText="1"/>
    </xf>
    <xf numFmtId="166" fontId="5" fillId="2" borderId="0" xfId="0" applyNumberFormat="1" applyFont="1" applyFill="1" applyBorder="1" applyAlignment="1">
      <alignment horizontal="center" vertical="top" wrapText="1"/>
    </xf>
    <xf numFmtId="0" fontId="0" fillId="2" borderId="0" xfId="0" applyFill="1" applyAlignment="1" applyProtection="1">
      <alignment horizontal="center"/>
      <protection locked="0"/>
    </xf>
    <xf numFmtId="0" fontId="47" fillId="11" borderId="0" xfId="0" applyFont="1" applyFill="1"/>
    <xf numFmtId="0" fontId="46" fillId="11" borderId="0" xfId="0" applyFont="1" applyFill="1"/>
    <xf numFmtId="0" fontId="46" fillId="11" borderId="0" xfId="0" applyFont="1" applyFill="1" applyAlignment="1">
      <alignment horizontal="center"/>
    </xf>
    <xf numFmtId="0" fontId="46" fillId="11" borderId="0" xfId="0" applyFont="1" applyFill="1" applyAlignment="1">
      <alignment horizontal="left"/>
    </xf>
    <xf numFmtId="9" fontId="46" fillId="11" borderId="0" xfId="3" applyFont="1" applyFill="1" applyAlignment="1">
      <alignment horizontal="center"/>
    </xf>
    <xf numFmtId="0" fontId="48" fillId="11" borderId="0" xfId="0" applyFont="1" applyFill="1" applyAlignment="1">
      <alignment horizontal="center"/>
    </xf>
    <xf numFmtId="0" fontId="5" fillId="11" borderId="0" xfId="0" applyFont="1" applyFill="1" applyProtection="1">
      <protection locked="0"/>
    </xf>
    <xf numFmtId="0" fontId="5" fillId="2" borderId="26" xfId="0" applyFont="1" applyFill="1" applyBorder="1" applyAlignment="1">
      <alignment horizontal="center"/>
    </xf>
    <xf numFmtId="0" fontId="3" fillId="2" borderId="24" xfId="0" applyFont="1" applyFill="1" applyBorder="1" applyAlignment="1" applyProtection="1">
      <alignment horizontal="left" indent="1"/>
    </xf>
    <xf numFmtId="0" fontId="3" fillId="12" borderId="11" xfId="0" applyFont="1" applyFill="1" applyBorder="1" applyAlignment="1">
      <alignment vertical="top" wrapText="1"/>
    </xf>
    <xf numFmtId="0" fontId="11" fillId="12" borderId="11" xfId="0" applyFont="1" applyFill="1" applyBorder="1" applyAlignment="1">
      <alignment horizontal="center" vertical="top" wrapText="1"/>
    </xf>
    <xf numFmtId="9" fontId="7" fillId="2" borderId="0" xfId="3" applyFont="1" applyFill="1" applyBorder="1" applyAlignment="1">
      <alignment horizontal="center" vertical="top" wrapText="1"/>
    </xf>
    <xf numFmtId="0" fontId="3" fillId="2" borderId="0" xfId="0" applyFont="1" applyFill="1" applyBorder="1" applyAlignment="1" applyProtection="1">
      <alignment horizontal="center"/>
    </xf>
    <xf numFmtId="0" fontId="3" fillId="2" borderId="31" xfId="0" applyFont="1" applyFill="1" applyBorder="1" applyAlignment="1">
      <alignment horizontal="center"/>
    </xf>
    <xf numFmtId="0" fontId="5" fillId="7" borderId="11" xfId="0" applyFont="1" applyFill="1" applyBorder="1" applyAlignment="1">
      <alignment horizontal="justify" vertical="top"/>
    </xf>
    <xf numFmtId="0" fontId="5" fillId="7" borderId="11" xfId="0" applyFont="1" applyFill="1" applyBorder="1" applyAlignment="1">
      <alignment horizontal="center" vertical="top"/>
    </xf>
    <xf numFmtId="164" fontId="5" fillId="7" borderId="11" xfId="0" applyNumberFormat="1" applyFont="1" applyFill="1" applyBorder="1" applyAlignment="1">
      <alignment horizontal="center" vertical="top" wrapText="1"/>
    </xf>
    <xf numFmtId="164" fontId="5" fillId="7" borderId="11" xfId="0" applyNumberFormat="1" applyFont="1" applyFill="1" applyBorder="1" applyAlignment="1">
      <alignment horizontal="center" vertical="top"/>
    </xf>
    <xf numFmtId="167" fontId="17" fillId="7" borderId="11" xfId="0" applyNumberFormat="1" applyFont="1" applyFill="1" applyBorder="1" applyAlignment="1" applyProtection="1">
      <alignment horizontal="center" vertical="center"/>
      <protection locked="0"/>
    </xf>
    <xf numFmtId="0" fontId="5" fillId="7" borderId="11" xfId="0" applyFont="1" applyFill="1" applyBorder="1" applyAlignment="1">
      <alignment horizontal="center" vertical="center"/>
    </xf>
    <xf numFmtId="9" fontId="3" fillId="7" borderId="11" xfId="3" applyFont="1" applyFill="1" applyBorder="1" applyAlignment="1">
      <alignment horizontal="center" vertical="center" wrapText="1"/>
    </xf>
    <xf numFmtId="9" fontId="17" fillId="7" borderId="11" xfId="3" applyFont="1" applyFill="1" applyBorder="1" applyAlignment="1" applyProtection="1">
      <alignment horizontal="center" vertical="center" wrapText="1"/>
      <protection locked="0"/>
    </xf>
    <xf numFmtId="0" fontId="3" fillId="7" borderId="11" xfId="0" applyFont="1" applyFill="1" applyBorder="1" applyAlignment="1" applyProtection="1">
      <alignment horizontal="center" vertical="center"/>
      <protection locked="0"/>
    </xf>
    <xf numFmtId="167" fontId="3" fillId="7" borderId="11" xfId="0" applyNumberFormat="1" applyFont="1" applyFill="1" applyBorder="1" applyAlignment="1">
      <alignment horizontal="center" vertical="center"/>
    </xf>
    <xf numFmtId="0" fontId="5" fillId="7" borderId="11" xfId="0" applyFont="1" applyFill="1" applyBorder="1" applyAlignment="1">
      <alignment horizontal="left" vertical="top"/>
    </xf>
    <xf numFmtId="0" fontId="5" fillId="7" borderId="11" xfId="0" applyFont="1" applyFill="1" applyBorder="1" applyAlignment="1">
      <alignment horizontal="left" vertical="top" wrapText="1"/>
    </xf>
    <xf numFmtId="0" fontId="5" fillId="7" borderId="11" xfId="0" applyFont="1" applyFill="1" applyBorder="1" applyAlignment="1">
      <alignment vertical="top"/>
    </xf>
    <xf numFmtId="9" fontId="17" fillId="7" borderId="11" xfId="3" applyFont="1" applyFill="1" applyBorder="1" applyAlignment="1" applyProtection="1">
      <alignment horizontal="center" vertical="center"/>
      <protection locked="0"/>
    </xf>
    <xf numFmtId="166" fontId="5" fillId="7" borderId="11" xfId="0" applyNumberFormat="1" applyFont="1" applyFill="1" applyBorder="1" applyAlignment="1">
      <alignment horizontal="center" vertical="top" wrapText="1"/>
    </xf>
    <xf numFmtId="0" fontId="6" fillId="7" borderId="11" xfId="0" applyFont="1" applyFill="1" applyBorder="1" applyAlignment="1">
      <alignment horizontal="center" vertical="center"/>
    </xf>
    <xf numFmtId="167" fontId="3" fillId="2" borderId="0" xfId="0" applyNumberFormat="1" applyFont="1" applyFill="1" applyBorder="1" applyAlignment="1">
      <alignment horizontal="center"/>
    </xf>
    <xf numFmtId="9" fontId="7" fillId="2" borderId="29" xfId="3" applyFont="1" applyFill="1" applyBorder="1" applyAlignment="1">
      <alignment horizontal="center" vertical="top" wrapText="1"/>
    </xf>
    <xf numFmtId="0" fontId="3" fillId="2" borderId="29" xfId="0" applyFont="1" applyFill="1" applyBorder="1" applyAlignment="1" applyProtection="1">
      <alignment horizontal="center"/>
    </xf>
    <xf numFmtId="167" fontId="3" fillId="2" borderId="29" xfId="0" applyNumberFormat="1" applyFont="1" applyFill="1" applyBorder="1" applyAlignment="1">
      <alignment horizontal="center"/>
    </xf>
    <xf numFmtId="167" fontId="3" fillId="2" borderId="29" xfId="0" applyNumberFormat="1" applyFont="1" applyFill="1" applyBorder="1" applyAlignment="1" applyProtection="1">
      <alignment horizontal="center"/>
    </xf>
    <xf numFmtId="167" fontId="3" fillId="2" borderId="19" xfId="0" applyNumberFormat="1" applyFont="1" applyFill="1" applyBorder="1" applyAlignment="1" applyProtection="1">
      <alignment horizontal="center"/>
    </xf>
    <xf numFmtId="0" fontId="18" fillId="2" borderId="27" xfId="0" applyFont="1" applyFill="1" applyBorder="1" applyAlignment="1">
      <alignment horizontal="justify" vertical="center"/>
    </xf>
    <xf numFmtId="0" fontId="5" fillId="2" borderId="27" xfId="0" applyFont="1" applyFill="1" applyBorder="1" applyAlignment="1">
      <alignment horizontal="center" vertical="top" wrapText="1"/>
    </xf>
    <xf numFmtId="164" fontId="5" fillId="2" borderId="27" xfId="0" applyNumberFormat="1" applyFont="1" applyFill="1" applyBorder="1" applyAlignment="1">
      <alignment horizontal="center" vertical="top"/>
    </xf>
    <xf numFmtId="164" fontId="5" fillId="2" borderId="27" xfId="0" applyNumberFormat="1" applyFont="1" applyFill="1" applyBorder="1" applyAlignment="1">
      <alignment horizontal="center" vertical="center"/>
    </xf>
    <xf numFmtId="9" fontId="3" fillId="2" borderId="27" xfId="3" applyFont="1" applyFill="1" applyBorder="1" applyAlignment="1">
      <alignment horizontal="center" vertical="center" wrapText="1"/>
    </xf>
    <xf numFmtId="9" fontId="3" fillId="2" borderId="32" xfId="3" applyFont="1" applyFill="1" applyBorder="1" applyAlignment="1">
      <alignment horizontal="center" vertical="center" wrapText="1"/>
    </xf>
    <xf numFmtId="0" fontId="5" fillId="2" borderId="33" xfId="0" applyFont="1" applyFill="1" applyBorder="1" applyAlignment="1" applyProtection="1">
      <alignment horizontal="center" vertical="center" wrapText="1"/>
      <protection locked="0"/>
    </xf>
    <xf numFmtId="167" fontId="5" fillId="2" borderId="27" xfId="0" applyNumberFormat="1" applyFont="1" applyFill="1" applyBorder="1" applyAlignment="1">
      <alignment horizontal="center" vertical="center" wrapText="1"/>
    </xf>
    <xf numFmtId="0" fontId="0" fillId="2" borderId="27" xfId="0" applyFill="1" applyBorder="1" applyProtection="1">
      <protection locked="0"/>
    </xf>
    <xf numFmtId="0" fontId="0" fillId="2" borderId="27" xfId="0" applyFill="1" applyBorder="1"/>
    <xf numFmtId="0" fontId="7" fillId="2" borderId="0" xfId="0" applyFont="1" applyFill="1" applyBorder="1" applyAlignment="1">
      <alignment vertical="top"/>
    </xf>
    <xf numFmtId="0" fontId="5" fillId="7" borderId="11" xfId="0" applyFont="1" applyFill="1" applyBorder="1" applyAlignment="1">
      <alignment horizontal="center" vertical="top" wrapText="1"/>
    </xf>
    <xf numFmtId="168" fontId="5" fillId="7" borderId="11" xfId="0" applyNumberFormat="1" applyFont="1" applyFill="1" applyBorder="1" applyAlignment="1">
      <alignment horizontal="center" vertical="top"/>
    </xf>
    <xf numFmtId="167" fontId="5" fillId="7" borderId="11" xfId="0" applyNumberFormat="1" applyFont="1" applyFill="1" applyBorder="1" applyAlignment="1">
      <alignment horizontal="center" vertical="top" wrapText="1"/>
    </xf>
    <xf numFmtId="168" fontId="5" fillId="7" borderId="11" xfId="0" applyNumberFormat="1" applyFont="1" applyFill="1" applyBorder="1" applyAlignment="1">
      <alignment horizontal="center" vertical="top" wrapText="1"/>
    </xf>
    <xf numFmtId="167" fontId="5" fillId="7" borderId="11" xfId="0" applyNumberFormat="1" applyFont="1" applyFill="1" applyBorder="1" applyAlignment="1">
      <alignment horizontal="center" vertical="top"/>
    </xf>
    <xf numFmtId="0" fontId="5" fillId="7" borderId="11" xfId="0" applyFont="1" applyFill="1" applyBorder="1" applyAlignment="1">
      <alignment horizontal="left" vertical="center"/>
    </xf>
    <xf numFmtId="0" fontId="9" fillId="7" borderId="11" xfId="0" applyFont="1" applyFill="1" applyBorder="1" applyAlignment="1">
      <alignment horizontal="left" vertical="top"/>
    </xf>
    <xf numFmtId="0" fontId="5" fillId="7" borderId="11" xfId="0" applyFont="1" applyFill="1" applyBorder="1" applyAlignment="1" applyProtection="1">
      <alignment horizontal="justify" vertical="top"/>
      <protection locked="0"/>
    </xf>
    <xf numFmtId="0" fontId="5" fillId="7" borderId="11" xfId="0" applyFont="1" applyFill="1" applyBorder="1" applyAlignment="1" applyProtection="1">
      <alignment horizontal="center" vertical="top"/>
      <protection locked="0"/>
    </xf>
    <xf numFmtId="167" fontId="5" fillId="7" borderId="11" xfId="0" applyNumberFormat="1" applyFont="1" applyFill="1" applyBorder="1" applyAlignment="1" applyProtection="1">
      <alignment horizontal="center" vertical="top" wrapText="1"/>
      <protection locked="0"/>
    </xf>
    <xf numFmtId="168" fontId="5" fillId="7" borderId="11" xfId="0" applyNumberFormat="1" applyFont="1" applyFill="1" applyBorder="1" applyAlignment="1" applyProtection="1">
      <alignment horizontal="center" vertical="top"/>
      <protection locked="0"/>
    </xf>
    <xf numFmtId="167" fontId="26" fillId="7" borderId="11" xfId="0" applyNumberFormat="1" applyFont="1" applyFill="1" applyBorder="1" applyAlignment="1" applyProtection="1">
      <alignment horizontal="left" vertical="top" wrapText="1"/>
      <protection locked="0"/>
    </xf>
    <xf numFmtId="0" fontId="5" fillId="2" borderId="34" xfId="0" applyFont="1" applyFill="1" applyBorder="1"/>
    <xf numFmtId="0" fontId="0" fillId="2" borderId="0" xfId="0" applyFill="1" applyBorder="1" applyAlignment="1">
      <alignment vertical="top"/>
    </xf>
    <xf numFmtId="0" fontId="3" fillId="12" borderId="24" xfId="0" applyFont="1" applyFill="1" applyBorder="1" applyAlignment="1" applyProtection="1">
      <alignment horizontal="right" vertical="top" wrapText="1"/>
    </xf>
    <xf numFmtId="167" fontId="3" fillId="12" borderId="26" xfId="0" applyNumberFormat="1" applyFont="1" applyFill="1" applyBorder="1" applyAlignment="1" applyProtection="1">
      <alignment horizontal="center" vertical="top"/>
    </xf>
    <xf numFmtId="0" fontId="3" fillId="12" borderId="24" xfId="0" applyFont="1" applyFill="1" applyBorder="1" applyAlignment="1" applyProtection="1">
      <alignment horizontal="left" vertical="top" wrapText="1" indent="1"/>
    </xf>
    <xf numFmtId="0" fontId="0" fillId="12" borderId="0" xfId="0" applyFill="1" applyBorder="1"/>
    <xf numFmtId="0" fontId="3" fillId="7" borderId="0" xfId="0" applyFont="1" applyFill="1" applyBorder="1"/>
    <xf numFmtId="164" fontId="0" fillId="12" borderId="0" xfId="0" applyNumberFormat="1" applyFill="1" applyBorder="1" applyAlignment="1"/>
    <xf numFmtId="0" fontId="3" fillId="12" borderId="1" xfId="0" applyFont="1" applyFill="1" applyBorder="1"/>
    <xf numFmtId="0" fontId="0" fillId="12" borderId="1" xfId="0" applyFill="1" applyBorder="1"/>
    <xf numFmtId="0" fontId="3" fillId="12" borderId="13" xfId="0" applyFont="1" applyFill="1" applyBorder="1"/>
    <xf numFmtId="0" fontId="0" fillId="12" borderId="13" xfId="0" applyFill="1" applyBorder="1"/>
    <xf numFmtId="0" fontId="12" fillId="2" borderId="35" xfId="0" applyFont="1" applyFill="1" applyBorder="1" applyAlignment="1" applyProtection="1">
      <alignment horizontal="center" vertical="center"/>
      <protection locked="0"/>
    </xf>
    <xf numFmtId="0" fontId="49" fillId="11" borderId="8" xfId="0" applyFont="1" applyFill="1" applyBorder="1" applyAlignment="1"/>
    <xf numFmtId="0" fontId="49" fillId="11" borderId="1" xfId="0" applyFont="1" applyFill="1" applyBorder="1" applyAlignment="1">
      <alignment wrapText="1"/>
    </xf>
    <xf numFmtId="0" fontId="49" fillId="11" borderId="1" xfId="0" applyFont="1" applyFill="1" applyBorder="1" applyAlignment="1">
      <alignment horizontal="left" wrapText="1"/>
    </xf>
    <xf numFmtId="0" fontId="49" fillId="11" borderId="7" xfId="0" applyFont="1" applyFill="1" applyBorder="1" applyAlignment="1">
      <alignment vertical="top"/>
    </xf>
    <xf numFmtId="0" fontId="49" fillId="11" borderId="0" xfId="0" applyFont="1" applyFill="1" applyBorder="1" applyAlignment="1">
      <alignment wrapText="1"/>
    </xf>
    <xf numFmtId="0" fontId="49" fillId="11" borderId="0" xfId="0" applyFont="1" applyFill="1" applyBorder="1" applyAlignment="1">
      <alignment horizontal="left" wrapText="1"/>
    </xf>
    <xf numFmtId="0" fontId="46" fillId="11" borderId="36" xfId="0" applyFont="1" applyFill="1" applyBorder="1"/>
    <xf numFmtId="0" fontId="49" fillId="11" borderId="4" xfId="0" applyFont="1" applyFill="1" applyBorder="1" applyAlignment="1">
      <alignment vertical="top"/>
    </xf>
    <xf numFmtId="0" fontId="49" fillId="11" borderId="5" xfId="0" applyFont="1" applyFill="1" applyBorder="1" applyAlignment="1">
      <alignment wrapText="1"/>
    </xf>
    <xf numFmtId="0" fontId="49" fillId="11" borderId="5" xfId="0" applyFont="1" applyFill="1" applyBorder="1" applyAlignment="1">
      <alignment horizontal="left" wrapText="1"/>
    </xf>
    <xf numFmtId="0" fontId="46" fillId="11" borderId="6" xfId="0" applyFont="1" applyFill="1" applyBorder="1"/>
    <xf numFmtId="168" fontId="14" fillId="11" borderId="4" xfId="0" applyNumberFormat="1" applyFont="1" applyFill="1" applyBorder="1" applyAlignment="1">
      <alignment horizontal="left"/>
    </xf>
    <xf numFmtId="0" fontId="0" fillId="7" borderId="18" xfId="0" applyFill="1" applyBorder="1"/>
    <xf numFmtId="0" fontId="15" fillId="7" borderId="19" xfId="0" applyFont="1" applyFill="1" applyBorder="1"/>
    <xf numFmtId="0" fontId="0" fillId="7" borderId="19" xfId="0" applyFill="1" applyBorder="1"/>
    <xf numFmtId="0" fontId="0" fillId="7" borderId="20" xfId="0" applyFill="1" applyBorder="1"/>
    <xf numFmtId="0" fontId="0" fillId="7" borderId="21" xfId="0" applyFill="1" applyBorder="1"/>
    <xf numFmtId="0" fontId="0" fillId="7" borderId="22" xfId="0" applyFill="1" applyBorder="1"/>
    <xf numFmtId="0" fontId="0" fillId="7" borderId="12" xfId="0" applyFill="1" applyBorder="1"/>
    <xf numFmtId="0" fontId="0" fillId="7" borderId="13" xfId="0" applyFill="1" applyBorder="1"/>
    <xf numFmtId="0" fontId="0" fillId="7" borderId="23" xfId="0" applyFill="1" applyBorder="1"/>
    <xf numFmtId="167" fontId="0" fillId="2" borderId="0" xfId="0" applyNumberFormat="1" applyFill="1" applyBorder="1" applyAlignment="1">
      <alignment horizontal="right"/>
    </xf>
    <xf numFmtId="167" fontId="0" fillId="2" borderId="0" xfId="0" applyNumberFormat="1" applyFill="1" applyBorder="1"/>
    <xf numFmtId="0" fontId="3" fillId="2" borderId="18" xfId="0" applyFont="1" applyFill="1" applyBorder="1"/>
    <xf numFmtId="0" fontId="3" fillId="2" borderId="20" xfId="0" applyFont="1" applyFill="1" applyBorder="1"/>
    <xf numFmtId="0" fontId="3" fillId="2" borderId="12" xfId="0" applyFont="1" applyFill="1" applyBorder="1"/>
    <xf numFmtId="0" fontId="3" fillId="2" borderId="23" xfId="0" applyFont="1" applyFill="1" applyBorder="1"/>
    <xf numFmtId="0" fontId="0" fillId="7" borderId="37" xfId="0" applyFill="1" applyBorder="1"/>
    <xf numFmtId="168" fontId="3" fillId="7" borderId="38" xfId="0" applyNumberFormat="1" applyFont="1" applyFill="1" applyBorder="1" applyAlignment="1">
      <alignment horizontal="right" indent="1"/>
    </xf>
    <xf numFmtId="0" fontId="3" fillId="7" borderId="38" xfId="0" applyFont="1" applyFill="1" applyBorder="1" applyAlignment="1">
      <alignment horizontal="right" indent="1"/>
    </xf>
    <xf numFmtId="0" fontId="0" fillId="7" borderId="38" xfId="0" applyFill="1" applyBorder="1"/>
    <xf numFmtId="168" fontId="3" fillId="7" borderId="39" xfId="0" applyNumberFormat="1" applyFont="1" applyFill="1" applyBorder="1" applyAlignment="1">
      <alignment vertical="center"/>
    </xf>
    <xf numFmtId="0" fontId="21" fillId="2" borderId="0" xfId="0" applyFont="1" applyFill="1"/>
    <xf numFmtId="0" fontId="13" fillId="2" borderId="11" xfId="0" applyFont="1" applyFill="1" applyBorder="1" applyAlignment="1" applyProtection="1">
      <alignment horizontal="right"/>
      <protection locked="0"/>
    </xf>
    <xf numFmtId="0" fontId="7" fillId="2" borderId="40" xfId="0" applyFont="1" applyFill="1" applyBorder="1" applyAlignment="1">
      <alignment vertical="top"/>
    </xf>
    <xf numFmtId="0" fontId="7" fillId="2" borderId="25" xfId="0" applyFont="1" applyFill="1" applyBorder="1" applyAlignment="1">
      <alignment vertical="top"/>
    </xf>
    <xf numFmtId="0" fontId="7" fillId="2" borderId="41" xfId="0" applyFont="1" applyFill="1" applyBorder="1" applyAlignment="1">
      <alignment vertical="top"/>
    </xf>
    <xf numFmtId="0" fontId="7" fillId="2" borderId="13" xfId="0" applyFont="1" applyFill="1" applyBorder="1" applyAlignment="1">
      <alignment vertical="top"/>
    </xf>
    <xf numFmtId="0" fontId="11" fillId="12" borderId="11" xfId="3" applyNumberFormat="1" applyFont="1" applyFill="1" applyBorder="1" applyAlignment="1">
      <alignment horizontal="center" vertical="top" wrapText="1"/>
    </xf>
    <xf numFmtId="0" fontId="0" fillId="11" borderId="0" xfId="0" applyFill="1"/>
    <xf numFmtId="0" fontId="48" fillId="13" borderId="0" xfId="0" applyFont="1" applyFill="1" applyAlignment="1">
      <alignment horizontal="left"/>
    </xf>
    <xf numFmtId="0" fontId="0" fillId="13" borderId="0" xfId="0" applyFill="1"/>
    <xf numFmtId="0" fontId="5" fillId="0" borderId="34" xfId="0" applyFont="1" applyFill="1" applyBorder="1" applyAlignment="1">
      <alignment horizontal="center" vertical="center"/>
    </xf>
    <xf numFmtId="0" fontId="0" fillId="2" borderId="0" xfId="0" applyFill="1" applyAlignment="1">
      <alignment wrapText="1"/>
    </xf>
    <xf numFmtId="0" fontId="7" fillId="2" borderId="30" xfId="0" applyFont="1" applyFill="1" applyBorder="1" applyAlignment="1">
      <alignment vertical="top" wrapText="1"/>
    </xf>
    <xf numFmtId="0" fontId="0" fillId="0" borderId="0" xfId="0" applyFill="1" applyBorder="1" applyAlignment="1">
      <alignment wrapText="1"/>
    </xf>
    <xf numFmtId="0" fontId="53" fillId="0" borderId="0" xfId="1" applyAlignment="1" applyProtection="1"/>
    <xf numFmtId="0" fontId="0" fillId="0" borderId="42" xfId="0" applyBorder="1"/>
    <xf numFmtId="0" fontId="0" fillId="0" borderId="43" xfId="0" applyBorder="1"/>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xf numFmtId="0" fontId="0" fillId="0" borderId="49" xfId="0" applyBorder="1"/>
    <xf numFmtId="167" fontId="40" fillId="2" borderId="50" xfId="0" applyNumberFormat="1" applyFont="1" applyFill="1" applyBorder="1" applyAlignment="1" applyProtection="1">
      <alignment horizontal="right"/>
      <protection locked="0"/>
    </xf>
    <xf numFmtId="167" fontId="40" fillId="2" borderId="34" xfId="0" applyNumberFormat="1" applyFont="1" applyFill="1" applyBorder="1" applyAlignment="1" applyProtection="1">
      <alignment horizontal="right"/>
      <protection locked="0"/>
    </xf>
    <xf numFmtId="167" fontId="40" fillId="2" borderId="51" xfId="0" applyNumberFormat="1" applyFont="1" applyFill="1" applyBorder="1" applyAlignment="1" applyProtection="1">
      <alignment horizontal="right"/>
      <protection locked="0"/>
    </xf>
    <xf numFmtId="167" fontId="31" fillId="2" borderId="0" xfId="0" applyNumberFormat="1" applyFont="1" applyFill="1" applyBorder="1" applyAlignment="1" applyProtection="1">
      <alignment horizontal="right"/>
    </xf>
    <xf numFmtId="0" fontId="0" fillId="7" borderId="11" xfId="0" applyFill="1" applyBorder="1" applyProtection="1">
      <protection locked="0"/>
    </xf>
    <xf numFmtId="9" fontId="1" fillId="2" borderId="0" xfId="3" applyFill="1" applyAlignment="1">
      <alignment horizontal="center"/>
    </xf>
    <xf numFmtId="9" fontId="1" fillId="2" borderId="0" xfId="3" applyFill="1" applyBorder="1" applyAlignment="1">
      <alignment horizontal="center"/>
    </xf>
    <xf numFmtId="9" fontId="1" fillId="2" borderId="29" xfId="3" applyFill="1" applyBorder="1" applyAlignment="1">
      <alignment horizontal="center"/>
    </xf>
    <xf numFmtId="0" fontId="55" fillId="7" borderId="0" xfId="2" applyFont="1" applyFill="1" applyAlignment="1" applyProtection="1"/>
    <xf numFmtId="0" fontId="0" fillId="0" borderId="9" xfId="0" pivotButton="1" applyBorder="1"/>
    <xf numFmtId="0" fontId="0" fillId="0" borderId="52" xfId="0" applyBorder="1"/>
    <xf numFmtId="0" fontId="0" fillId="0" borderId="53" xfId="0" applyBorder="1"/>
    <xf numFmtId="0" fontId="0" fillId="0" borderId="54" xfId="0" applyNumberFormat="1" applyBorder="1"/>
    <xf numFmtId="0" fontId="0" fillId="0" borderId="52" xfId="0" applyNumberFormat="1" applyBorder="1"/>
    <xf numFmtId="0" fontId="0" fillId="0" borderId="55" xfId="0" applyBorder="1"/>
    <xf numFmtId="0" fontId="0" fillId="0" borderId="56" xfId="0" applyNumberFormat="1" applyBorder="1"/>
    <xf numFmtId="0" fontId="56" fillId="0" borderId="9" xfId="0" pivotButton="1" applyFont="1" applyBorder="1"/>
    <xf numFmtId="0" fontId="13" fillId="2" borderId="24" xfId="0" applyFont="1" applyFill="1" applyBorder="1" applyAlignment="1" applyProtection="1">
      <alignment horizontal="left"/>
      <protection locked="0"/>
    </xf>
    <xf numFmtId="0" fontId="13" fillId="2" borderId="25" xfId="0" applyFont="1" applyFill="1" applyBorder="1" applyAlignment="1" applyProtection="1">
      <alignment horizontal="left"/>
      <protection locked="0"/>
    </xf>
    <xf numFmtId="0" fontId="13" fillId="2" borderId="26" xfId="0" applyFont="1" applyFill="1" applyBorder="1" applyAlignment="1" applyProtection="1">
      <alignment horizontal="left"/>
      <protection locked="0"/>
    </xf>
    <xf numFmtId="167" fontId="11" fillId="7" borderId="0" xfId="0" applyNumberFormat="1" applyFont="1" applyFill="1" applyBorder="1" applyAlignment="1">
      <alignment horizontal="right"/>
    </xf>
    <xf numFmtId="167" fontId="12" fillId="7" borderId="0" xfId="0" applyNumberFormat="1" applyFont="1" applyFill="1" applyBorder="1" applyAlignment="1">
      <alignment horizontal="right"/>
    </xf>
    <xf numFmtId="0" fontId="11" fillId="7" borderId="0" xfId="0" applyFont="1" applyFill="1" applyBorder="1" applyAlignment="1">
      <alignment horizontal="right"/>
    </xf>
    <xf numFmtId="0" fontId="11" fillId="7" borderId="18" xfId="0" applyFont="1" applyFill="1" applyBorder="1" applyAlignment="1">
      <alignment horizontal="center"/>
    </xf>
    <xf numFmtId="0" fontId="11" fillId="7" borderId="20" xfId="0" applyFont="1" applyFill="1" applyBorder="1" applyAlignment="1">
      <alignment horizontal="center"/>
    </xf>
    <xf numFmtId="168" fontId="11" fillId="2" borderId="12" xfId="0" applyNumberFormat="1" applyFont="1" applyFill="1" applyBorder="1" applyAlignment="1" applyProtection="1">
      <alignment horizontal="right" indent="1"/>
    </xf>
    <xf numFmtId="168" fontId="11" fillId="2" borderId="23" xfId="0" applyNumberFormat="1" applyFont="1" applyFill="1" applyBorder="1" applyAlignment="1" applyProtection="1">
      <alignment horizontal="right" indent="1"/>
    </xf>
    <xf numFmtId="0" fontId="27" fillId="7" borderId="24" xfId="0" applyFont="1" applyFill="1" applyBorder="1" applyAlignment="1">
      <alignment horizontal="center" vertical="center"/>
    </xf>
    <xf numFmtId="0" fontId="27" fillId="7" borderId="26" xfId="0" applyFont="1" applyFill="1" applyBorder="1" applyAlignment="1">
      <alignment horizontal="center" vertical="center"/>
    </xf>
    <xf numFmtId="167" fontId="11" fillId="2" borderId="25" xfId="0" applyNumberFormat="1" applyFont="1" applyFill="1" applyBorder="1" applyAlignment="1">
      <alignment horizontal="center" vertical="center"/>
    </xf>
    <xf numFmtId="167" fontId="11" fillId="2" borderId="26" xfId="0" applyNumberFormat="1" applyFont="1" applyFill="1" applyBorder="1" applyAlignment="1">
      <alignment horizontal="center" vertical="center"/>
    </xf>
    <xf numFmtId="9" fontId="3" fillId="7" borderId="11" xfId="3" applyFont="1" applyFill="1" applyBorder="1" applyAlignment="1">
      <alignment horizontal="center"/>
    </xf>
    <xf numFmtId="167" fontId="3" fillId="12" borderId="25" xfId="0" applyNumberFormat="1" applyFont="1" applyFill="1" applyBorder="1" applyAlignment="1" applyProtection="1">
      <alignment horizontal="right" vertical="top"/>
    </xf>
    <xf numFmtId="167" fontId="3" fillId="12" borderId="26" xfId="0" applyNumberFormat="1" applyFont="1" applyFill="1" applyBorder="1" applyAlignment="1" applyProtection="1">
      <alignment horizontal="right" vertical="top"/>
    </xf>
    <xf numFmtId="167" fontId="3" fillId="12" borderId="25" xfId="0" applyNumberFormat="1" applyFont="1" applyFill="1" applyBorder="1" applyAlignment="1" applyProtection="1">
      <alignment horizontal="right"/>
    </xf>
    <xf numFmtId="167" fontId="3" fillId="12" borderId="26" xfId="0" applyNumberFormat="1" applyFont="1" applyFill="1" applyBorder="1" applyAlignment="1" applyProtection="1">
      <alignment horizontal="right"/>
    </xf>
    <xf numFmtId="0" fontId="0" fillId="7" borderId="24" xfId="0" applyFill="1" applyBorder="1" applyAlignment="1"/>
    <xf numFmtId="0" fontId="0" fillId="7" borderId="25" xfId="0" applyFill="1" applyBorder="1" applyAlignment="1"/>
    <xf numFmtId="0" fontId="0" fillId="7" borderId="26" xfId="0" applyFill="1" applyBorder="1" applyAlignment="1"/>
    <xf numFmtId="0" fontId="10" fillId="11" borderId="50" xfId="0" applyFont="1" applyFill="1" applyBorder="1" applyAlignment="1">
      <alignment horizontal="center" wrapText="1"/>
    </xf>
    <xf numFmtId="0" fontId="10" fillId="11" borderId="34" xfId="0" applyFont="1" applyFill="1" applyBorder="1" applyAlignment="1">
      <alignment horizontal="center" wrapText="1"/>
    </xf>
    <xf numFmtId="0" fontId="10" fillId="11" borderId="51" xfId="0" applyFont="1" applyFill="1" applyBorder="1" applyAlignment="1">
      <alignment horizontal="center" wrapText="1"/>
    </xf>
    <xf numFmtId="0" fontId="10" fillId="11" borderId="50" xfId="0" applyFont="1" applyFill="1" applyBorder="1" applyAlignment="1">
      <alignment horizontal="center" wrapText="1" shrinkToFit="1"/>
    </xf>
    <xf numFmtId="0" fontId="10" fillId="11" borderId="34" xfId="0" applyFont="1" applyFill="1" applyBorder="1" applyAlignment="1">
      <alignment horizontal="center" wrapText="1" shrinkToFit="1"/>
    </xf>
    <xf numFmtId="0" fontId="10" fillId="11" borderId="51" xfId="0" applyFont="1" applyFill="1" applyBorder="1" applyAlignment="1">
      <alignment horizontal="center" wrapText="1" shrinkToFit="1"/>
    </xf>
    <xf numFmtId="0" fontId="0" fillId="7" borderId="24" xfId="0" applyFill="1" applyBorder="1" applyAlignment="1">
      <alignment horizontal="left"/>
    </xf>
    <xf numFmtId="164" fontId="0" fillId="12" borderId="0" xfId="0" applyNumberFormat="1" applyFill="1" applyBorder="1" applyAlignment="1"/>
    <xf numFmtId="0" fontId="0" fillId="12" borderId="0" xfId="0" applyFill="1" applyAlignment="1"/>
    <xf numFmtId="164" fontId="3" fillId="12" borderId="1" xfId="0" applyNumberFormat="1" applyFont="1" applyFill="1" applyBorder="1" applyAlignment="1"/>
    <xf numFmtId="0" fontId="0" fillId="12" borderId="1" xfId="0" applyFill="1" applyBorder="1" applyAlignment="1"/>
  </cellXfs>
  <cellStyles count="4">
    <cellStyle name="Followed Hyperlink" xfId="1" builtinId="9"/>
    <cellStyle name="Hyperlink" xfId="2" builtinId="8"/>
    <cellStyle name="Normal" xfId="0" builtinId="0"/>
    <cellStyle name="Percent" xfId="3" builtinId="5"/>
  </cellStyles>
  <dxfs count="12">
    <dxf>
      <font>
        <condense val="0"/>
        <extend val="0"/>
        <color indexed="10"/>
      </font>
      <fill>
        <patternFill>
          <bgColor indexed="11"/>
        </patternFill>
      </fill>
    </dxf>
    <dxf>
      <font>
        <condense val="0"/>
        <extend val="0"/>
        <color indexed="10"/>
      </font>
    </dxf>
    <dxf>
      <font>
        <condense val="0"/>
        <extend val="0"/>
        <color indexed="10"/>
      </font>
      <fill>
        <patternFill>
          <bgColor indexed="11"/>
        </patternFill>
      </fill>
    </dxf>
    <dxf>
      <font>
        <condense val="0"/>
        <extend val="0"/>
        <color indexed="10"/>
      </font>
    </dxf>
    <dxf>
      <font>
        <condense val="0"/>
        <extend val="0"/>
        <color indexed="10"/>
      </font>
    </dxf>
    <dxf>
      <fill>
        <patternFill>
          <bgColor indexed="10"/>
        </patternFill>
      </fill>
    </dxf>
    <dxf>
      <fill>
        <patternFill>
          <bgColor indexed="11"/>
        </patternFill>
      </fill>
    </dxf>
    <dxf>
      <fill>
        <patternFill>
          <bgColor indexed="10"/>
        </patternFill>
      </fill>
    </dxf>
    <dxf>
      <fill>
        <patternFill>
          <bgColor indexed="11"/>
        </patternFill>
      </fill>
    </dxf>
    <dxf>
      <font>
        <condense val="0"/>
        <extend val="0"/>
        <color indexed="10"/>
      </font>
      <fill>
        <patternFill>
          <bgColor indexed="11"/>
        </patternFill>
      </fill>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2D6A"/>
      <rgbColor rgb="00539DFF"/>
      <rgbColor rgb="00A3CAFF"/>
      <rgbColor rgb="00DDECFF"/>
      <rgbColor rgb="00004AAC"/>
      <rgbColor rgb="007DB5FF"/>
      <rgbColor rgb="00C5DEFF"/>
      <rgbColor rgb="003189FF"/>
      <rgbColor rgb="00002D6A"/>
      <rgbColor rgb="00004AAC"/>
      <rgbColor rgb="00539DFF"/>
      <rgbColor rgb="007DB5FF"/>
      <rgbColor rgb="00A3CAFF"/>
      <rgbColor rgb="00C5DEFF"/>
      <rgbColor rgb="00DDECFF"/>
      <rgbColor rgb="003189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4C599241-6926-101B-9992-00000B65C6F9}"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4C599241-6926-101B-9992-00000B65C6F9}"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[SP_Savings_Calc.xlsx]Fam_Data!PivotTable3</c:name>
    <c:fmtId val="0"/>
  </c:pivotSource>
  <c:chart>
    <c:title>
      <c:tx>
        <c:rich>
          <a:bodyPr/>
          <a:lstStyle/>
          <a:p>
            <a:pPr>
              <a:defRPr sz="1200" b="1" i="0" u="none" strike="noStrike" baseline="0">
                <a:solidFill>
                  <a:srgbClr val="000000"/>
                </a:solidFill>
                <a:latin typeface="Arial"/>
                <a:ea typeface="Arial"/>
                <a:cs typeface="Arial"/>
              </a:defRPr>
            </a:pPr>
            <a:r>
              <a:rPr lang="en-GB"/>
              <a:t>Top 10 Family Savings by Negative Outcome</a:t>
            </a:r>
          </a:p>
        </c:rich>
      </c:tx>
      <c:overlay val="0"/>
      <c:spPr>
        <a:noFill/>
        <a:ln w="25400">
          <a:noFill/>
        </a:ln>
      </c:spPr>
    </c:title>
    <c:autoTitleDeleted val="0"/>
    <c:pivotFmts>
      <c:pivotFmt>
        <c:idx val="0"/>
        <c:spPr>
          <a:solidFill>
            <a:srgbClr val="002D6A"/>
          </a:solidFill>
          <a:ln w="12700">
            <a:solidFill>
              <a:srgbClr val="000000"/>
            </a:solidFill>
            <a:prstDash val="solid"/>
          </a:ln>
        </c:spPr>
        <c:marker>
          <c:symbol val="none"/>
        </c:marker>
        <c:dLbl>
          <c:idx val="0"/>
          <c:numFmt formatCode="\£#,##0" sourceLinked="0"/>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D6A"/>
          </a:solidFill>
          <a:ln w="12700">
            <a:solidFill>
              <a:srgbClr val="000000"/>
            </a:solidFill>
            <a:prstDash val="solid"/>
          </a:ln>
        </c:spPr>
        <c:marker>
          <c:symbol val="none"/>
        </c:marker>
        <c:dLbl>
          <c:idx val="0"/>
          <c:numFmt formatCode="\£#,##0" sourceLinked="0"/>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D6A"/>
          </a:solidFill>
          <a:ln w="12700">
            <a:solidFill>
              <a:srgbClr val="000000"/>
            </a:solidFill>
            <a:prstDash val="solid"/>
          </a:ln>
        </c:spPr>
        <c:marker>
          <c:symbol val="none"/>
        </c:marker>
        <c:dLbl>
          <c:idx val="0"/>
          <c:numFmt formatCode="\£#,##0" sourceLinked="0"/>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Fam_Data!$K$1:$K$2</c:f>
              <c:strCache>
                <c:ptCount val="1"/>
                <c:pt idx="0">
                  <c:v>Total</c:v>
                </c:pt>
              </c:strCache>
            </c:strRef>
          </c:tx>
          <c:spPr>
            <a:solidFill>
              <a:srgbClr val="002D6A"/>
            </a:solidFill>
            <a:ln w="12700">
              <a:solidFill>
                <a:srgbClr val="000000"/>
              </a:solidFill>
              <a:prstDash val="solid"/>
            </a:ln>
          </c:spPr>
          <c:invertIfNegative val="0"/>
          <c:dLbls>
            <c:numFmt formatCode="\£#,##0" sourceLinked="0"/>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Fam_Data!$J$3:$J$13</c:f>
              <c:strCache>
                <c:ptCount val="10"/>
                <c:pt idx="0">
                  <c:v>Child Protection Plan</c:v>
                </c:pt>
                <c:pt idx="1">
                  <c:v>Specialist midwife</c:v>
                </c:pt>
                <c:pt idx="2">
                  <c:v>Inpatient</c:v>
                </c:pt>
                <c:pt idx="3">
                  <c:v>Specialist</c:v>
                </c:pt>
                <c:pt idx="4">
                  <c:v>Counsellor</c:v>
                </c:pt>
                <c:pt idx="5">
                  <c:v>Social worker</c:v>
                </c:pt>
                <c:pt idx="6">
                  <c:v>Other social adviser</c:v>
                </c:pt>
                <c:pt idx="7">
                  <c:v>GP Prescription</c:v>
                </c:pt>
                <c:pt idx="8">
                  <c:v>Emergency ambulance</c:v>
                </c:pt>
                <c:pt idx="9">
                  <c:v>Visit to a GP surgery</c:v>
                </c:pt>
              </c:strCache>
            </c:strRef>
          </c:cat>
          <c:val>
            <c:numRef>
              <c:f>Fam_Data!$K$3:$K$13</c:f>
              <c:numCache>
                <c:formatCode>General</c:formatCode>
                <c:ptCount val="10"/>
                <c:pt idx="0">
                  <c:v>8472</c:v>
                </c:pt>
                <c:pt idx="1">
                  <c:v>1543</c:v>
                </c:pt>
                <c:pt idx="2">
                  <c:v>1235</c:v>
                </c:pt>
                <c:pt idx="3">
                  <c:v>624</c:v>
                </c:pt>
                <c:pt idx="4">
                  <c:v>572</c:v>
                </c:pt>
                <c:pt idx="5">
                  <c:v>507</c:v>
                </c:pt>
                <c:pt idx="6">
                  <c:v>416</c:v>
                </c:pt>
                <c:pt idx="7">
                  <c:v>273</c:v>
                </c:pt>
                <c:pt idx="8">
                  <c:v>272.37</c:v>
                </c:pt>
                <c:pt idx="9">
                  <c:v>224</c:v>
                </c:pt>
              </c:numCache>
            </c:numRef>
          </c:val>
          <c:extLst>
            <c:ext xmlns:c16="http://schemas.microsoft.com/office/drawing/2014/chart" uri="{C3380CC4-5D6E-409C-BE32-E72D297353CC}">
              <c16:uniqueId val="{00000000-0FD6-471A-984D-50D50A9C45B5}"/>
            </c:ext>
          </c:extLst>
        </c:ser>
        <c:dLbls>
          <c:showLegendKey val="0"/>
          <c:showVal val="0"/>
          <c:showCatName val="0"/>
          <c:showSerName val="0"/>
          <c:showPercent val="0"/>
          <c:showBubbleSize val="0"/>
        </c:dLbls>
        <c:gapWidth val="150"/>
        <c:axId val="114757392"/>
        <c:axId val="116502192"/>
      </c:barChart>
      <c:catAx>
        <c:axId val="114757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16502192"/>
        <c:crosses val="autoZero"/>
        <c:auto val="0"/>
        <c:lblAlgn val="ctr"/>
        <c:lblOffset val="100"/>
        <c:tickLblSkip val="1"/>
        <c:tickMarkSkip val="1"/>
        <c:noMultiLvlLbl val="0"/>
      </c:catAx>
      <c:valAx>
        <c:axId val="11650219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47573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Family cost to services pre/post intervention</a:t>
            </a:r>
          </a:p>
        </c:rich>
      </c:tx>
      <c:layout>
        <c:manualLayout>
          <c:xMode val="edge"/>
          <c:yMode val="edge"/>
          <c:x val="0.26739441335180986"/>
          <c:y val="3.1325301204819279E-2"/>
        </c:manualLayout>
      </c:layout>
      <c:overlay val="0"/>
      <c:spPr>
        <a:noFill/>
        <a:ln w="25400">
          <a:noFill/>
        </a:ln>
      </c:spPr>
    </c:title>
    <c:autoTitleDeleted val="0"/>
    <c:plotArea>
      <c:layout>
        <c:manualLayout>
          <c:layoutTarget val="inner"/>
          <c:xMode val="edge"/>
          <c:yMode val="edge"/>
          <c:x val="0.16098237190269274"/>
          <c:y val="0.17590382142298266"/>
          <c:w val="0.70668532750504098"/>
          <c:h val="0.70602492708128661"/>
        </c:manualLayout>
      </c:layout>
      <c:barChart>
        <c:barDir val="col"/>
        <c:grouping val="clustered"/>
        <c:varyColors val="0"/>
        <c:ser>
          <c:idx val="0"/>
          <c:order val="0"/>
          <c:spPr>
            <a:gradFill rotWithShape="0">
              <a:gsLst>
                <a:gs pos="0">
                  <a:srgbClr val="FF0000"/>
                </a:gs>
                <a:gs pos="100000">
                  <a:srgbClr val="FF99CC"/>
                </a:gs>
              </a:gsLst>
              <a:lin ang="5400000" scaled="1"/>
            </a:gradFill>
            <a:ln w="25400">
              <a:noFill/>
            </a:ln>
          </c:spPr>
          <c:invertIfNegative val="0"/>
          <c:dLbls>
            <c:numFmt formatCode="\£#,##0" sourceLinked="0"/>
            <c:spPr>
              <a:noFill/>
              <a:ln w="25400">
                <a:noFill/>
              </a:ln>
            </c:spPr>
            <c:txPr>
              <a:bodyPr wrap="square" lIns="38100" tIns="19050" rIns="38100" bIns="19050" anchor="ctr">
                <a:spAutoFit/>
              </a:bodyPr>
              <a:lstStyle/>
              <a:p>
                <a:pPr>
                  <a:defRPr sz="1200" b="1" i="0" u="none" strike="noStrike" baseline="0">
                    <a:solidFill>
                      <a:srgbClr val="000000"/>
                    </a:solidFill>
                    <a:latin typeface="Arial"/>
                    <a:ea typeface="Arial"/>
                    <a:cs typeface="Aria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('Fam Chart'!$C$64,'Fam Chart'!$C$66)</c:f>
              <c:strCache>
                <c:ptCount val="2"/>
                <c:pt idx="0">
                  <c:v>Pre-Intervention cost</c:v>
                </c:pt>
                <c:pt idx="1">
                  <c:v>Post-Intervention cost</c:v>
                </c:pt>
              </c:strCache>
            </c:strRef>
          </c:cat>
          <c:val>
            <c:numRef>
              <c:f>'Fam Chart'!$C$65:$D$65</c:f>
              <c:numCache>
                <c:formatCode>General</c:formatCode>
                <c:ptCount val="2"/>
                <c:pt idx="0" formatCode="&quot;£&quot;#,##0">
                  <c:v>0</c:v>
                </c:pt>
              </c:numCache>
            </c:numRef>
          </c:val>
          <c:extLst>
            <c:ext xmlns:c16="http://schemas.microsoft.com/office/drawing/2014/chart" uri="{C3380CC4-5D6E-409C-BE32-E72D297353CC}">
              <c16:uniqueId val="{00000000-6866-4E39-B0A0-8B710671D641}"/>
            </c:ext>
          </c:extLst>
        </c:ser>
        <c:ser>
          <c:idx val="1"/>
          <c:order val="1"/>
          <c:spPr>
            <a:gradFill rotWithShape="0">
              <a:gsLst>
                <a:gs pos="0">
                  <a:srgbClr val="FF9900"/>
                </a:gs>
                <a:gs pos="100000">
                  <a:srgbClr val="FFCC99"/>
                </a:gs>
              </a:gsLst>
              <a:lin ang="5400000" scaled="1"/>
            </a:gradFill>
            <a:ln w="25400">
              <a:noFill/>
            </a:ln>
          </c:spPr>
          <c:invertIfNegative val="0"/>
          <c:dLbls>
            <c:numFmt formatCode="\£#,##0" sourceLinked="0"/>
            <c:spPr>
              <a:noFill/>
              <a:ln w="25400">
                <a:noFill/>
              </a:ln>
            </c:spPr>
            <c:txPr>
              <a:bodyPr wrap="square" lIns="38100" tIns="19050" rIns="38100" bIns="19050" anchor="ctr">
                <a:spAutoFit/>
              </a:bodyPr>
              <a:lstStyle/>
              <a:p>
                <a:pPr>
                  <a:defRPr sz="1200" b="1" i="0" u="none" strike="noStrike" baseline="0">
                    <a:solidFill>
                      <a:srgbClr val="000000"/>
                    </a:solidFill>
                    <a:latin typeface="Arial"/>
                    <a:ea typeface="Arial"/>
                    <a:cs typeface="Aria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'Fam Chart'!$B$67:$C$67</c:f>
              <c:numCache>
                <c:formatCode>"£"#,##0</c:formatCode>
                <c:ptCount val="2"/>
                <c:pt idx="1">
                  <c:v>0</c:v>
                </c:pt>
              </c:numCache>
            </c:numRef>
          </c:val>
          <c:extLst>
            <c:ext xmlns:c16="http://schemas.microsoft.com/office/drawing/2014/chart" uri="{C3380CC4-5D6E-409C-BE32-E72D297353CC}">
              <c16:uniqueId val="{00000001-6866-4E39-B0A0-8B710671D641}"/>
            </c:ext>
          </c:extLst>
        </c:ser>
        <c:dLbls>
          <c:showLegendKey val="0"/>
          <c:showVal val="0"/>
          <c:showCatName val="0"/>
          <c:showSerName val="0"/>
          <c:showPercent val="0"/>
          <c:showBubbleSize val="0"/>
        </c:dLbls>
        <c:gapWidth val="0"/>
        <c:overlap val="100"/>
        <c:axId val="116503368"/>
        <c:axId val="116504936"/>
      </c:barChart>
      <c:catAx>
        <c:axId val="116503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6504936"/>
        <c:crosses val="autoZero"/>
        <c:auto val="1"/>
        <c:lblAlgn val="ctr"/>
        <c:lblOffset val="100"/>
        <c:tickLblSkip val="1"/>
        <c:tickMarkSkip val="1"/>
        <c:noMultiLvlLbl val="0"/>
      </c:catAx>
      <c:valAx>
        <c:axId val="11650493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a:t>Cost</a:t>
                </a:r>
              </a:p>
            </c:rich>
          </c:tx>
          <c:layout>
            <c:manualLayout>
              <c:xMode val="edge"/>
              <c:yMode val="edge"/>
              <c:x val="2.1828103683492497E-2"/>
              <c:y val="0.4771089396957909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1650336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[SP_Savings_Calc.xlsx]Case_Data!PivotTable4</c:name>
    <c:fmtId val="0"/>
  </c:pivotSource>
  <c:chart>
    <c:title>
      <c:tx>
        <c:rich>
          <a:bodyPr/>
          <a:lstStyle/>
          <a:p>
            <a:pPr>
              <a:defRPr sz="1175" b="1" i="0" u="none" strike="noStrike" baseline="0">
                <a:solidFill>
                  <a:srgbClr val="000000"/>
                </a:solidFill>
                <a:latin typeface="Arial"/>
                <a:ea typeface="Arial"/>
                <a:cs typeface="Arial"/>
              </a:defRPr>
            </a:pPr>
            <a:r>
              <a:rPr lang="en-GB"/>
              <a:t>Predicted Savings by Family</a:t>
            </a:r>
          </a:p>
        </c:rich>
      </c:tx>
      <c:overlay val="0"/>
      <c:spPr>
        <a:noFill/>
        <a:ln w="25400">
          <a:noFill/>
        </a:ln>
      </c:spPr>
    </c:title>
    <c:autoTitleDeleted val="0"/>
    <c:plotArea>
      <c:layout/>
      <c:barChart>
        <c:barDir val="col"/>
        <c:grouping val="clustered"/>
        <c:varyColors val="0"/>
        <c:dLbls>
          <c:showLegendKey val="0"/>
          <c:showVal val="0"/>
          <c:showCatName val="0"/>
          <c:showSerName val="0"/>
          <c:showPercent val="0"/>
          <c:showBubbleSize val="0"/>
        </c:dLbls>
        <c:gapWidth val="150"/>
        <c:axId val="116508072"/>
        <c:axId val="116507680"/>
      </c:barChart>
      <c:catAx>
        <c:axId val="116508072"/>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GB"/>
                  <a:t>Families</a:t>
                </a:r>
              </a:p>
            </c:rich>
          </c:tx>
          <c:overlay val="0"/>
          <c:spPr>
            <a:noFill/>
            <a:ln w="25400">
              <a:noFill/>
            </a:ln>
          </c:spPr>
        </c:title>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507680"/>
        <c:crosses val="autoZero"/>
        <c:auto val="0"/>
        <c:lblAlgn val="ctr"/>
        <c:lblOffset val="100"/>
        <c:tickLblSkip val="1"/>
        <c:tickMarkSkip val="1"/>
        <c:noMultiLvlLbl val="0"/>
      </c:catAx>
      <c:valAx>
        <c:axId val="116507680"/>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GB"/>
                  <a:t>Predicted Savings</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50807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a:t>Average Savings by Agency</a:t>
            </a:r>
          </a:p>
        </c:rich>
      </c:tx>
      <c:layout>
        <c:manualLayout>
          <c:xMode val="edge"/>
          <c:yMode val="edge"/>
          <c:x val="0.36815951737376112"/>
          <c:y val="3.2183908045977011E-2"/>
        </c:manualLayout>
      </c:layout>
      <c:overlay val="0"/>
      <c:spPr>
        <a:noFill/>
        <a:ln w="25400">
          <a:noFill/>
        </a:ln>
      </c:spPr>
    </c:title>
    <c:autoTitleDeleted val="0"/>
    <c:plotArea>
      <c:layout>
        <c:manualLayout>
          <c:layoutTarget val="inner"/>
          <c:xMode val="edge"/>
          <c:yMode val="edge"/>
          <c:x val="4.4776162912160793E-2"/>
          <c:y val="0.17471303590390602"/>
          <c:w val="0.94129444699786902"/>
          <c:h val="0.70574871082235724"/>
        </c:manualLayout>
      </c:layout>
      <c:barChart>
        <c:barDir val="col"/>
        <c:grouping val="clustered"/>
        <c:varyColors val="0"/>
        <c:ser>
          <c:idx val="0"/>
          <c:order val="0"/>
          <c:spPr>
            <a:solidFill>
              <a:srgbClr val="FFCC00"/>
            </a:solidFill>
            <a:ln w="25400">
              <a:noFill/>
            </a:ln>
          </c:spPr>
          <c:invertIfNegative val="0"/>
          <c:dLbls>
            <c:spPr>
              <a:noFill/>
              <a:ln w="25400">
                <a:noFill/>
              </a:ln>
            </c:spPr>
            <c:txPr>
              <a:bodyPr wrap="square" lIns="38100" tIns="19050" rIns="38100" bIns="19050" anchor="ctr">
                <a:spAutoFit/>
              </a:bodyPr>
              <a:lstStyle/>
              <a:p>
                <a:pPr>
                  <a:defRPr sz="11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Case_Data!$U$29:$U$36</c:f>
              <c:numCache>
                <c:formatCode>General</c:formatCode>
                <c:ptCount val="8"/>
                <c:pt idx="0">
                  <c:v>#N/A</c:v>
                </c:pt>
                <c:pt idx="1">
                  <c:v>#N/A</c:v>
                </c:pt>
                <c:pt idx="2">
                  <c:v>#N/A</c:v>
                </c:pt>
                <c:pt idx="3">
                  <c:v>#N/A</c:v>
                </c:pt>
                <c:pt idx="4">
                  <c:v>#N/A</c:v>
                </c:pt>
                <c:pt idx="5">
                  <c:v>#N/A</c:v>
                </c:pt>
                <c:pt idx="6">
                  <c:v>#N/A</c:v>
                </c:pt>
                <c:pt idx="7">
                  <c:v>#N/A</c:v>
                </c:pt>
              </c:numCache>
            </c:numRef>
          </c:cat>
          <c:val>
            <c:numRef>
              <c:f>Case_Data!$V$29:$V$36</c:f>
              <c:numCache>
                <c:formatCode>"£"#,##0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0-D402-4681-8C63-FDEBB1BC72A3}"/>
            </c:ext>
          </c:extLst>
        </c:ser>
        <c:dLbls>
          <c:showLegendKey val="0"/>
          <c:showVal val="0"/>
          <c:showCatName val="0"/>
          <c:showSerName val="0"/>
          <c:showPercent val="0"/>
          <c:showBubbleSize val="0"/>
        </c:dLbls>
        <c:gapWidth val="75"/>
        <c:axId val="343904280"/>
        <c:axId val="343898792"/>
      </c:barChart>
      <c:catAx>
        <c:axId val="343904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343898792"/>
        <c:crosses val="autoZero"/>
        <c:auto val="1"/>
        <c:lblAlgn val="ctr"/>
        <c:lblOffset val="100"/>
        <c:tickLblSkip val="1"/>
        <c:tickMarkSkip val="1"/>
        <c:noMultiLvlLbl val="0"/>
      </c:catAx>
      <c:valAx>
        <c:axId val="3438987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439042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Drop" dropStyle="combo" dx="21" fmlaLink="$H$9" fmlaRange="parentchild" sel="1" val="0"/>
</file>

<file path=xl/ctrlProps/ctrlProp10.xml><?xml version="1.0" encoding="utf-8"?>
<formControlPr xmlns="http://schemas.microsoft.com/office/spreadsheetml/2009/9/main" objectType="Drop" dropStyle="combo" dx="21" fmlaLink="$H$25" fmlaRange="parentchild" sel="1" val="0"/>
</file>

<file path=xl/ctrlProps/ctrlProp11.xml><?xml version="1.0" encoding="utf-8"?>
<formControlPr xmlns="http://schemas.microsoft.com/office/spreadsheetml/2009/9/main" objectType="Drop" dropStyle="combo" dx="21" fmlaLink="$H$27" fmlaRange="parentchild" sel="1" val="0"/>
</file>

<file path=xl/ctrlProps/ctrlProp2.xml><?xml version="1.0" encoding="utf-8"?>
<formControlPr xmlns="http://schemas.microsoft.com/office/spreadsheetml/2009/9/main" objectType="Drop" dropStyle="combo" dx="21" fmlaLink="$H$23" fmlaRange="parentchild" sel="1" val="0"/>
</file>

<file path=xl/ctrlProps/ctrlProp3.xml><?xml version="1.0" encoding="utf-8"?>
<formControlPr xmlns="http://schemas.microsoft.com/office/spreadsheetml/2009/9/main" objectType="Drop" dropStyle="combo" dx="21" fmlaLink="$H$11" fmlaRange="parentchild" sel="1" val="0"/>
</file>

<file path=xl/ctrlProps/ctrlProp4.xml><?xml version="1.0" encoding="utf-8"?>
<formControlPr xmlns="http://schemas.microsoft.com/office/spreadsheetml/2009/9/main" objectType="Drop" dropStyle="combo" dx="21" fmlaLink="$H$13" fmlaRange="parentchild" sel="1" val="0"/>
</file>

<file path=xl/ctrlProps/ctrlProp5.xml><?xml version="1.0" encoding="utf-8"?>
<formControlPr xmlns="http://schemas.microsoft.com/office/spreadsheetml/2009/9/main" objectType="Drop" dropStyle="combo" dx="21" fmlaLink="$H$15" fmlaRange="parentchild" sel="1" val="0"/>
</file>

<file path=xl/ctrlProps/ctrlProp6.xml><?xml version="1.0" encoding="utf-8"?>
<formControlPr xmlns="http://schemas.microsoft.com/office/spreadsheetml/2009/9/main" objectType="Drop" dropStyle="combo" dx="21" fmlaLink="$H$17" fmlaRange="parentchild" sel="1" val="0"/>
</file>

<file path=xl/ctrlProps/ctrlProp7.xml><?xml version="1.0" encoding="utf-8"?>
<formControlPr xmlns="http://schemas.microsoft.com/office/spreadsheetml/2009/9/main" objectType="Drop" dropStyle="combo" dx="21" fmlaLink="$H$19" fmlaRange="parentchild" sel="1" val="0"/>
</file>

<file path=xl/ctrlProps/ctrlProp8.xml><?xml version="1.0" encoding="utf-8"?>
<formControlPr xmlns="http://schemas.microsoft.com/office/spreadsheetml/2009/9/main" objectType="Drop" dropStyle="combo" dx="21" fmlaLink="$H$21" fmlaRange="parentchild" sel="1" val="0"/>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emf"/><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3.emf"/><Relationship Id="rId1" Type="http://schemas.openxmlformats.org/officeDocument/2006/relationships/image" Target="../media/image2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7.emf"/><Relationship Id="rId1" Type="http://schemas.openxmlformats.org/officeDocument/2006/relationships/image" Target="../media/image28.emf"/><Relationship Id="rId4" Type="http://schemas.openxmlformats.org/officeDocument/2006/relationships/image" Target="../media/image2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30.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180975</xdr:colOff>
          <xdr:row>27</xdr:row>
          <xdr:rowOff>152400</xdr:rowOff>
        </xdr:from>
        <xdr:to>
          <xdr:col>4</xdr:col>
          <xdr:colOff>209550</xdr:colOff>
          <xdr:row>29</xdr:row>
          <xdr:rowOff>95250</xdr:rowOff>
        </xdr:to>
        <xdr:sp macro="" textlink="">
          <xdr:nvSpPr>
            <xdr:cNvPr id="2049" name="btnCreateFam"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400050</xdr:colOff>
          <xdr:row>27</xdr:row>
          <xdr:rowOff>133350</xdr:rowOff>
        </xdr:from>
        <xdr:to>
          <xdr:col>7</xdr:col>
          <xdr:colOff>590550</xdr:colOff>
          <xdr:row>29</xdr:row>
          <xdr:rowOff>76200</xdr:rowOff>
        </xdr:to>
        <xdr:sp macro="" textlink="">
          <xdr:nvSpPr>
            <xdr:cNvPr id="2050" name="btnDelete"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5</xdr:row>
          <xdr:rowOff>76200</xdr:rowOff>
        </xdr:from>
        <xdr:to>
          <xdr:col>15</xdr:col>
          <xdr:colOff>114300</xdr:colOff>
          <xdr:row>7</xdr:row>
          <xdr:rowOff>123825</xdr:rowOff>
        </xdr:to>
        <xdr:sp macro="" textlink="">
          <xdr:nvSpPr>
            <xdr:cNvPr id="2051" name="btnCalculate"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219075</xdr:colOff>
          <xdr:row>5</xdr:row>
          <xdr:rowOff>76200</xdr:rowOff>
        </xdr:from>
        <xdr:to>
          <xdr:col>23</xdr:col>
          <xdr:colOff>123825</xdr:colOff>
          <xdr:row>7</xdr:row>
          <xdr:rowOff>123825</xdr:rowOff>
        </xdr:to>
        <xdr:sp macro="" textlink="">
          <xdr:nvSpPr>
            <xdr:cNvPr id="2055" name="btnCalculateCase"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xdr:col>
      <xdr:colOff>9525</xdr:colOff>
      <xdr:row>34</xdr:row>
      <xdr:rowOff>57150</xdr:rowOff>
    </xdr:from>
    <xdr:to>
      <xdr:col>7</xdr:col>
      <xdr:colOff>676275</xdr:colOff>
      <xdr:row>41</xdr:row>
      <xdr:rowOff>114300</xdr:rowOff>
    </xdr:to>
    <xdr:sp macro="" textlink="">
      <xdr:nvSpPr>
        <xdr:cNvPr id="2062" name="Text Box 14">
          <a:extLst>
            <a:ext uri="{FF2B5EF4-FFF2-40B4-BE49-F238E27FC236}">
              <a16:creationId xmlns:a16="http://schemas.microsoft.com/office/drawing/2014/main" id="{00000000-0008-0000-0000-00000E080000}"/>
            </a:ext>
          </a:extLst>
        </xdr:cNvPr>
        <xdr:cNvSpPr txBox="1">
          <a:spLocks noChangeArrowheads="1"/>
        </xdr:cNvSpPr>
      </xdr:nvSpPr>
      <xdr:spPr bwMode="auto">
        <a:xfrm>
          <a:off x="123825" y="6410325"/>
          <a:ext cx="3829050" cy="1304925"/>
        </a:xfrm>
        <a:prstGeom prst="rect">
          <a:avLst/>
        </a:prstGeom>
        <a:solidFill>
          <a:srgbClr xmlns:mc="http://schemas.openxmlformats.org/markup-compatibility/2006" xmlns:a14="http://schemas.microsoft.com/office/drawing/2010/main" val="99CCFF" mc:Ignorable="a14" a14:legacySpreadsheetColorIndex="4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000"/>
            </a:lnSpc>
            <a:defRPr sz="1000"/>
          </a:pPr>
          <a:r>
            <a:rPr lang="en-GB" sz="1000" b="1" i="1" u="none" strike="noStrike" baseline="0">
              <a:solidFill>
                <a:srgbClr val="000000"/>
              </a:solidFill>
              <a:latin typeface="Arial"/>
              <a:cs typeface="Arial"/>
            </a:rPr>
            <a:t>Disclaimer:</a:t>
          </a:r>
        </a:p>
        <a:p>
          <a:pPr algn="l" rtl="0">
            <a:lnSpc>
              <a:spcPts val="1000"/>
            </a:lnSpc>
            <a:defRPr sz="1000"/>
          </a:pPr>
          <a:r>
            <a:rPr lang="en-GB" sz="1000" b="0" i="1" u="none" strike="noStrike" baseline="0">
              <a:solidFill>
                <a:srgbClr val="000000"/>
              </a:solidFill>
              <a:latin typeface="Arial"/>
              <a:cs typeface="Arial"/>
            </a:rPr>
            <a:t>The unit costs used by the Family Savings Calculator are based on those identified by Parrott and Godfrey, in research carried out for the National Centre for Social Research report published in 2008. These costs have been updated with more recent and/or relevant costs where possible following a review of the literature. Where more recent costs could not be identified, the original costs have been uprated using the GDP deflator.</a:t>
          </a:r>
        </a:p>
        <a:p>
          <a:pPr algn="l" rtl="0">
            <a:lnSpc>
              <a:spcPts val="1000"/>
            </a:lnSpc>
            <a:defRPr sz="1000"/>
          </a:pPr>
          <a:endParaRPr lang="en-GB" sz="1000" b="1" i="1" u="none" strike="noStrike" baseline="0">
            <a:solidFill>
              <a:srgbClr val="000000"/>
            </a:solidFill>
            <a:latin typeface="Arial"/>
            <a:cs typeface="Arial"/>
          </a:endParaRPr>
        </a:p>
        <a:p>
          <a:pPr algn="l" rtl="0">
            <a:lnSpc>
              <a:spcPts val="900"/>
            </a:lnSpc>
            <a:defRPr sz="1000"/>
          </a:pPr>
          <a:endParaRPr lang="en-GB" sz="1000" b="1" i="1" u="none" strike="noStrike" baseline="0">
            <a:solidFill>
              <a:srgbClr val="000000"/>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editAs="oneCell">
        <xdr:from>
          <xdr:col>7</xdr:col>
          <xdr:colOff>114300</xdr:colOff>
          <xdr:row>7</xdr:row>
          <xdr:rowOff>152400</xdr:rowOff>
        </xdr:from>
        <xdr:to>
          <xdr:col>7</xdr:col>
          <xdr:colOff>533400</xdr:colOff>
          <xdr:row>9</xdr:row>
          <xdr:rowOff>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21</xdr:row>
          <xdr:rowOff>190500</xdr:rowOff>
        </xdr:from>
        <xdr:to>
          <xdr:col>7</xdr:col>
          <xdr:colOff>533400</xdr:colOff>
          <xdr:row>23</xdr:row>
          <xdr:rowOff>9525</xdr:rowOff>
        </xdr:to>
        <xdr:sp macro="" textlink="">
          <xdr:nvSpPr>
            <xdr:cNvPr id="2069" name="Drop Dow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9</xdr:row>
          <xdr:rowOff>171450</xdr:rowOff>
        </xdr:from>
        <xdr:to>
          <xdr:col>7</xdr:col>
          <xdr:colOff>533400</xdr:colOff>
          <xdr:row>10</xdr:row>
          <xdr:rowOff>190500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11</xdr:row>
          <xdr:rowOff>180975</xdr:rowOff>
        </xdr:from>
        <xdr:to>
          <xdr:col>7</xdr:col>
          <xdr:colOff>533400</xdr:colOff>
          <xdr:row>13</xdr:row>
          <xdr:rowOff>0</xdr:rowOff>
        </xdr:to>
        <xdr:sp macro="" textlink="">
          <xdr:nvSpPr>
            <xdr:cNvPr id="2071" name="Drop Dow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13</xdr:row>
          <xdr:rowOff>180975</xdr:rowOff>
        </xdr:from>
        <xdr:to>
          <xdr:col>7</xdr:col>
          <xdr:colOff>533400</xdr:colOff>
          <xdr:row>15</xdr:row>
          <xdr:rowOff>0</xdr:rowOff>
        </xdr:to>
        <xdr:sp macro="" textlink="">
          <xdr:nvSpPr>
            <xdr:cNvPr id="2072" name="Drop Dow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15</xdr:row>
          <xdr:rowOff>180975</xdr:rowOff>
        </xdr:from>
        <xdr:to>
          <xdr:col>7</xdr:col>
          <xdr:colOff>533400</xdr:colOff>
          <xdr:row>17</xdr:row>
          <xdr:rowOff>0</xdr:rowOff>
        </xdr:to>
        <xdr:sp macro="" textlink="">
          <xdr:nvSpPr>
            <xdr:cNvPr id="2073" name="Drop Dow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17</xdr:row>
          <xdr:rowOff>180975</xdr:rowOff>
        </xdr:from>
        <xdr:to>
          <xdr:col>7</xdr:col>
          <xdr:colOff>533400</xdr:colOff>
          <xdr:row>19</xdr:row>
          <xdr:rowOff>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19</xdr:row>
          <xdr:rowOff>190500</xdr:rowOff>
        </xdr:from>
        <xdr:to>
          <xdr:col>7</xdr:col>
          <xdr:colOff>533400</xdr:colOff>
          <xdr:row>21</xdr:row>
          <xdr:rowOff>9525</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14</xdr:col>
      <xdr:colOff>114300</xdr:colOff>
      <xdr:row>1</xdr:row>
      <xdr:rowOff>161925</xdr:rowOff>
    </xdr:from>
    <xdr:to>
      <xdr:col>15</xdr:col>
      <xdr:colOff>171450</xdr:colOff>
      <xdr:row>2</xdr:row>
      <xdr:rowOff>180975</xdr:rowOff>
    </xdr:to>
    <xdr:pic macro="[0]!famgraphbutton_press">
      <xdr:nvPicPr>
        <xdr:cNvPr id="2170" name="Picture 19" descr="MPj04358800000[1]">
          <a:extLst>
            <a:ext uri="{FF2B5EF4-FFF2-40B4-BE49-F238E27FC236}">
              <a16:creationId xmlns:a16="http://schemas.microsoft.com/office/drawing/2014/main" id="{00000000-0008-0000-0000-00007A08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15100" y="219075"/>
          <a:ext cx="571500" cy="3143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21</xdr:col>
      <xdr:colOff>504825</xdr:colOff>
      <xdr:row>1</xdr:row>
      <xdr:rowOff>180975</xdr:rowOff>
    </xdr:from>
    <xdr:to>
      <xdr:col>23</xdr:col>
      <xdr:colOff>38100</xdr:colOff>
      <xdr:row>3</xdr:row>
      <xdr:rowOff>0</xdr:rowOff>
    </xdr:to>
    <xdr:pic macro="[0]!casegraphbutton_press">
      <xdr:nvPicPr>
        <xdr:cNvPr id="2171" name="Picture 19" descr="MPj04358800000[1]">
          <a:extLst>
            <a:ext uri="{FF2B5EF4-FFF2-40B4-BE49-F238E27FC236}">
              <a16:creationId xmlns:a16="http://schemas.microsoft.com/office/drawing/2014/main" id="{00000000-0008-0000-0000-00007B08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91675" y="238125"/>
          <a:ext cx="561975" cy="3143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fLocksWithSheet="0"/>
  </xdr:twoCellAnchor>
  <mc:AlternateContent xmlns:mc="http://schemas.openxmlformats.org/markup-compatibility/2006">
    <mc:Choice xmlns:a14="http://schemas.microsoft.com/office/drawing/2010/main" Requires="a14">
      <xdr:twoCellAnchor editAs="oneCell">
        <xdr:from>
          <xdr:col>17</xdr:col>
          <xdr:colOff>0</xdr:colOff>
          <xdr:row>35</xdr:row>
          <xdr:rowOff>9525</xdr:rowOff>
        </xdr:from>
        <xdr:to>
          <xdr:col>23</xdr:col>
          <xdr:colOff>152400</xdr:colOff>
          <xdr:row>38</xdr:row>
          <xdr:rowOff>161925</xdr:rowOff>
        </xdr:to>
        <xdr:sp macro="" textlink="">
          <xdr:nvSpPr>
            <xdr:cNvPr id="2078" name="Group Box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MS Shell Dlg"/>
                  <a:ea typeface="MS Shell Dlg"/>
                  <a:cs typeface="MS Shell Dlg"/>
                </a:rPr>
                <a:t>Reports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342900</xdr:colOff>
          <xdr:row>35</xdr:row>
          <xdr:rowOff>161925</xdr:rowOff>
        </xdr:from>
        <xdr:to>
          <xdr:col>23</xdr:col>
          <xdr:colOff>0</xdr:colOff>
          <xdr:row>38</xdr:row>
          <xdr:rowOff>28575</xdr:rowOff>
        </xdr:to>
        <xdr:sp macro="" textlink="">
          <xdr:nvSpPr>
            <xdr:cNvPr id="2079" name="btnprojection"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1038225</xdr:colOff>
          <xdr:row>1</xdr:row>
          <xdr:rowOff>152400</xdr:rowOff>
        </xdr:from>
        <xdr:to>
          <xdr:col>3</xdr:col>
          <xdr:colOff>133350</xdr:colOff>
          <xdr:row>2</xdr:row>
          <xdr:rowOff>152400</xdr:rowOff>
        </xdr:to>
        <xdr:sp macro="" textlink="">
          <xdr:nvSpPr>
            <xdr:cNvPr id="2080" name="imgHelp"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xdr:row>
          <xdr:rowOff>161925</xdr:rowOff>
        </xdr:from>
        <xdr:to>
          <xdr:col>2</xdr:col>
          <xdr:colOff>876300</xdr:colOff>
          <xdr:row>2</xdr:row>
          <xdr:rowOff>114300</xdr:rowOff>
        </xdr:to>
        <xdr:sp macro="" textlink="">
          <xdr:nvSpPr>
            <xdr:cNvPr id="2081" name="chkHint"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35</xdr:row>
          <xdr:rowOff>171450</xdr:rowOff>
        </xdr:from>
        <xdr:to>
          <xdr:col>19</xdr:col>
          <xdr:colOff>466725</xdr:colOff>
          <xdr:row>38</xdr:row>
          <xdr:rowOff>38100</xdr:rowOff>
        </xdr:to>
        <xdr:sp macro="" textlink="">
          <xdr:nvSpPr>
            <xdr:cNvPr id="2082" name="btnFamAverage"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4</xdr:col>
      <xdr:colOff>57150</xdr:colOff>
      <xdr:row>5</xdr:row>
      <xdr:rowOff>0</xdr:rowOff>
    </xdr:from>
    <xdr:ext cx="738151" cy="170560"/>
    <xdr:sp macro="" textlink="">
      <xdr:nvSpPr>
        <xdr:cNvPr id="2114" name="displayhelp" hidden="1">
          <a:extLst>
            <a:ext uri="{FF2B5EF4-FFF2-40B4-BE49-F238E27FC236}">
              <a16:creationId xmlns:a16="http://schemas.microsoft.com/office/drawing/2014/main" id="{00000000-0008-0000-0000-000042080000}"/>
            </a:ext>
          </a:extLst>
        </xdr:cNvPr>
        <xdr:cNvSpPr txBox="1">
          <a:spLocks noChangeArrowheads="1"/>
        </xdr:cNvSpPr>
      </xdr:nvSpPr>
      <xdr:spPr bwMode="auto">
        <a:xfrm>
          <a:off x="1648385" y="728382"/>
          <a:ext cx="738151" cy="170560"/>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wrap="none" lIns="18288" tIns="22860" rIns="0" bIns="0" anchor="t" upright="1">
          <a:spAutoFit/>
        </a:bodyPr>
        <a:lstStyle/>
        <a:p>
          <a:pPr algn="l" rtl="0">
            <a:defRPr sz="1000"/>
          </a:pPr>
          <a:r>
            <a:rPr lang="en-GB" sz="1000" b="0" i="0" u="none" strike="noStrike" baseline="0">
              <a:solidFill>
                <a:srgbClr val="000000"/>
              </a:solidFill>
              <a:latin typeface="Arial"/>
              <a:cs typeface="Arial"/>
            </a:rPr>
            <a:t>Display Help</a:t>
          </a:r>
        </a:p>
      </xdr:txBody>
    </xdr:sp>
    <xdr:clientData/>
  </xdr:oneCellAnchor>
  <xdr:twoCellAnchor>
    <xdr:from>
      <xdr:col>20</xdr:col>
      <xdr:colOff>66675</xdr:colOff>
      <xdr:row>4</xdr:row>
      <xdr:rowOff>38100</xdr:rowOff>
    </xdr:from>
    <xdr:to>
      <xdr:col>21</xdr:col>
      <xdr:colOff>542925</xdr:colOff>
      <xdr:row>6</xdr:row>
      <xdr:rowOff>152400</xdr:rowOff>
    </xdr:to>
    <xdr:sp macro="" textlink="">
      <xdr:nvSpPr>
        <xdr:cNvPr id="2116" name="helpconvert" hidden="1">
          <a:extLst>
            <a:ext uri="{FF2B5EF4-FFF2-40B4-BE49-F238E27FC236}">
              <a16:creationId xmlns:a16="http://schemas.microsoft.com/office/drawing/2014/main" id="{00000000-0008-0000-0000-000044080000}"/>
            </a:ext>
          </a:extLst>
        </xdr:cNvPr>
        <xdr:cNvSpPr txBox="1">
          <a:spLocks noChangeArrowheads="1"/>
        </xdr:cNvSpPr>
      </xdr:nvSpPr>
      <xdr:spPr bwMode="auto">
        <a:xfrm>
          <a:off x="8677275" y="666750"/>
          <a:ext cx="923925" cy="37147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Convert previous versions</a:t>
          </a:r>
        </a:p>
      </xdr:txBody>
    </xdr:sp>
    <xdr:clientData/>
  </xdr:twoCellAnchor>
  <xdr:twoCellAnchor editAs="absolute">
    <xdr:from>
      <xdr:col>6</xdr:col>
      <xdr:colOff>180975</xdr:colOff>
      <xdr:row>4</xdr:row>
      <xdr:rowOff>0</xdr:rowOff>
    </xdr:from>
    <xdr:to>
      <xdr:col>11</xdr:col>
      <xdr:colOff>19050</xdr:colOff>
      <xdr:row>8</xdr:row>
      <xdr:rowOff>57150</xdr:rowOff>
    </xdr:to>
    <xdr:sp macro="" textlink="">
      <xdr:nvSpPr>
        <xdr:cNvPr id="2117" name="step1" hidden="1">
          <a:extLst>
            <a:ext uri="{FF2B5EF4-FFF2-40B4-BE49-F238E27FC236}">
              <a16:creationId xmlns:a16="http://schemas.microsoft.com/office/drawing/2014/main" id="{00000000-0008-0000-0000-000045080000}"/>
            </a:ext>
          </a:extLst>
        </xdr:cNvPr>
        <xdr:cNvSpPr>
          <a:spLocks noChangeArrowheads="1"/>
        </xdr:cNvSpPr>
      </xdr:nvSpPr>
      <xdr:spPr bwMode="auto">
        <a:xfrm>
          <a:off x="2943225" y="628650"/>
          <a:ext cx="1905000" cy="685800"/>
        </a:xfrm>
        <a:prstGeom prst="wedgeRoundRectCallout">
          <a:avLst>
            <a:gd name="adj1" fmla="val -64000"/>
            <a:gd name="adj2" fmla="val 19444"/>
            <a:gd name="adj3" fmla="val 16667"/>
          </a:avLst>
        </a:prstGeom>
        <a:solidFill>
          <a:srgbClr val="CCE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Step 1.</a:t>
          </a:r>
          <a:r>
            <a:rPr lang="en-GB" sz="900" b="0" i="0" u="none" strike="noStrike" baseline="0">
              <a:solidFill>
                <a:srgbClr val="000000"/>
              </a:solidFill>
              <a:latin typeface="Arial"/>
              <a:cs typeface="Arial"/>
            </a:rPr>
            <a:t> Enter names or identifiers for each family member. Select whether the member is a parent, child or other.</a:t>
          </a:r>
        </a:p>
      </xdr:txBody>
    </xdr:sp>
    <xdr:clientData fPrintsWithSheet="0"/>
  </xdr:twoCellAnchor>
  <xdr:twoCellAnchor editAs="absolute">
    <xdr:from>
      <xdr:col>6</xdr:col>
      <xdr:colOff>400050</xdr:colOff>
      <xdr:row>29</xdr:row>
      <xdr:rowOff>123825</xdr:rowOff>
    </xdr:from>
    <xdr:to>
      <xdr:col>11</xdr:col>
      <xdr:colOff>295275</xdr:colOff>
      <xdr:row>32</xdr:row>
      <xdr:rowOff>47625</xdr:rowOff>
    </xdr:to>
    <xdr:sp macro="" textlink="">
      <xdr:nvSpPr>
        <xdr:cNvPr id="2118" name="step2" hidden="1">
          <a:extLst>
            <a:ext uri="{FF2B5EF4-FFF2-40B4-BE49-F238E27FC236}">
              <a16:creationId xmlns:a16="http://schemas.microsoft.com/office/drawing/2014/main" id="{00000000-0008-0000-0000-000046080000}"/>
            </a:ext>
          </a:extLst>
        </xdr:cNvPr>
        <xdr:cNvSpPr>
          <a:spLocks noChangeArrowheads="1"/>
        </xdr:cNvSpPr>
      </xdr:nvSpPr>
      <xdr:spPr bwMode="auto">
        <a:xfrm>
          <a:off x="3162300" y="5524500"/>
          <a:ext cx="1962150" cy="495300"/>
        </a:xfrm>
        <a:prstGeom prst="wedgeRoundRectCallout">
          <a:avLst>
            <a:gd name="adj1" fmla="val -107769"/>
            <a:gd name="adj2" fmla="val -74528"/>
            <a:gd name="adj3" fmla="val 16667"/>
          </a:avLst>
        </a:prstGeom>
        <a:solidFill>
          <a:srgbClr val="CCE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Step 2.</a:t>
          </a:r>
          <a:r>
            <a:rPr lang="en-GB" sz="900" b="0" i="0" u="none" strike="noStrike" baseline="0">
              <a:solidFill>
                <a:srgbClr val="000000"/>
              </a:solidFill>
              <a:latin typeface="Arial"/>
              <a:cs typeface="Arial"/>
            </a:rPr>
            <a:t> Click this button to create a costings worksheet for each entered family member.</a:t>
          </a:r>
        </a:p>
      </xdr:txBody>
    </xdr:sp>
    <xdr:clientData fPrintsWithSheet="0"/>
  </xdr:twoCellAnchor>
  <xdr:twoCellAnchor editAs="absolute">
    <xdr:from>
      <xdr:col>13</xdr:col>
      <xdr:colOff>133350</xdr:colOff>
      <xdr:row>9</xdr:row>
      <xdr:rowOff>0</xdr:rowOff>
    </xdr:from>
    <xdr:to>
      <xdr:col>21</xdr:col>
      <xdr:colOff>190500</xdr:colOff>
      <xdr:row>11</xdr:row>
      <xdr:rowOff>104775</xdr:rowOff>
    </xdr:to>
    <xdr:sp macro="" textlink="">
      <xdr:nvSpPr>
        <xdr:cNvPr id="2119" name="step4" hidden="1">
          <a:extLst>
            <a:ext uri="{FF2B5EF4-FFF2-40B4-BE49-F238E27FC236}">
              <a16:creationId xmlns:a16="http://schemas.microsoft.com/office/drawing/2014/main" id="{00000000-0008-0000-0000-000047080000}"/>
            </a:ext>
          </a:extLst>
        </xdr:cNvPr>
        <xdr:cNvSpPr>
          <a:spLocks noChangeArrowheads="1"/>
        </xdr:cNvSpPr>
      </xdr:nvSpPr>
      <xdr:spPr bwMode="auto">
        <a:xfrm>
          <a:off x="6086475" y="1457325"/>
          <a:ext cx="3190875" cy="504825"/>
        </a:xfrm>
        <a:prstGeom prst="wedgeRoundRectCallout">
          <a:avLst>
            <a:gd name="adj1" fmla="val 16889"/>
            <a:gd name="adj2" fmla="val -112500"/>
            <a:gd name="adj3" fmla="val 16667"/>
          </a:avLst>
        </a:prstGeom>
        <a:solidFill>
          <a:srgbClr val="CCE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Step 4.</a:t>
          </a:r>
          <a:r>
            <a:rPr lang="en-GB" sz="900" b="0" i="0" u="none" strike="noStrike" baseline="0">
              <a:solidFill>
                <a:srgbClr val="000000"/>
              </a:solidFill>
              <a:latin typeface="Arial"/>
              <a:cs typeface="Arial"/>
            </a:rPr>
            <a:t> For each family member fill out the costings sheet, then click this button to produce a summary of the family cost avoidances by problem type/organisation.</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xdr:colOff>
          <xdr:row>44</xdr:row>
          <xdr:rowOff>76200</xdr:rowOff>
        </xdr:from>
        <xdr:to>
          <xdr:col>8</xdr:col>
          <xdr:colOff>0</xdr:colOff>
          <xdr:row>51</xdr:row>
          <xdr:rowOff>123825</xdr:rowOff>
        </xdr:to>
        <xdr:sp macro="" textlink="">
          <xdr:nvSpPr>
            <xdr:cNvPr id="2121" name="txtComments" hidden="1">
              <a:extLst>
                <a:ext uri="{63B3BB69-23CF-44E3-9099-C40C66FF867C}">
                  <a14:compatExt spid="_x0000_s2121"/>
                </a:ext>
                <a:ext uri="{FF2B5EF4-FFF2-40B4-BE49-F238E27FC236}">
                  <a16:creationId xmlns:a16="http://schemas.microsoft.com/office/drawing/2014/main" id="{00000000-0008-0000-0000-00004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23</xdr:row>
          <xdr:rowOff>171450</xdr:rowOff>
        </xdr:from>
        <xdr:to>
          <xdr:col>7</xdr:col>
          <xdr:colOff>533400</xdr:colOff>
          <xdr:row>25</xdr:row>
          <xdr:rowOff>0</xdr:rowOff>
        </xdr:to>
        <xdr:sp macro="" textlink="">
          <xdr:nvSpPr>
            <xdr:cNvPr id="2127" name="Drop Down 79" hidden="1">
              <a:extLst>
                <a:ext uri="{63B3BB69-23CF-44E3-9099-C40C66FF867C}">
                  <a14:compatExt spid="_x0000_s2127"/>
                </a:ext>
                <a:ext uri="{FF2B5EF4-FFF2-40B4-BE49-F238E27FC236}">
                  <a16:creationId xmlns:a16="http://schemas.microsoft.com/office/drawing/2014/main" id="{00000000-0008-0000-0000-00004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25</xdr:row>
          <xdr:rowOff>171450</xdr:rowOff>
        </xdr:from>
        <xdr:to>
          <xdr:col>7</xdr:col>
          <xdr:colOff>533400</xdr:colOff>
          <xdr:row>27</xdr:row>
          <xdr:rowOff>0</xdr:rowOff>
        </xdr:to>
        <xdr:sp macro="" textlink="">
          <xdr:nvSpPr>
            <xdr:cNvPr id="2133" name="Drop Down 85" hidden="1">
              <a:extLst>
                <a:ext uri="{63B3BB69-23CF-44E3-9099-C40C66FF867C}">
                  <a14:compatExt spid="_x0000_s2133"/>
                </a:ext>
                <a:ext uri="{FF2B5EF4-FFF2-40B4-BE49-F238E27FC236}">
                  <a16:creationId xmlns:a16="http://schemas.microsoft.com/office/drawing/2014/main" id="{00000000-0008-0000-0000-00005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absolute">
    <xdr:from>
      <xdr:col>3</xdr:col>
      <xdr:colOff>57150</xdr:colOff>
      <xdr:row>33</xdr:row>
      <xdr:rowOff>104775</xdr:rowOff>
    </xdr:from>
    <xdr:to>
      <xdr:col>7</xdr:col>
      <xdr:colOff>276225</xdr:colOff>
      <xdr:row>37</xdr:row>
      <xdr:rowOff>38100</xdr:rowOff>
    </xdr:to>
    <xdr:sp macro="" textlink="">
      <xdr:nvSpPr>
        <xdr:cNvPr id="2136" name="step3" hidden="1">
          <a:extLst>
            <a:ext uri="{FF2B5EF4-FFF2-40B4-BE49-F238E27FC236}">
              <a16:creationId xmlns:a16="http://schemas.microsoft.com/office/drawing/2014/main" id="{00000000-0008-0000-0000-000058080000}"/>
            </a:ext>
          </a:extLst>
        </xdr:cNvPr>
        <xdr:cNvSpPr>
          <a:spLocks noChangeArrowheads="1"/>
        </xdr:cNvSpPr>
      </xdr:nvSpPr>
      <xdr:spPr bwMode="auto">
        <a:xfrm>
          <a:off x="1495425" y="6276975"/>
          <a:ext cx="2057400" cy="657225"/>
        </a:xfrm>
        <a:prstGeom prst="wedgeRoundRectCallout">
          <a:avLst>
            <a:gd name="adj1" fmla="val -52565"/>
            <a:gd name="adj2" fmla="val -58065"/>
            <a:gd name="adj3" fmla="val 16667"/>
          </a:avLst>
        </a:prstGeom>
        <a:solidFill>
          <a:srgbClr val="CCE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en-GB" sz="900" b="1" i="0" u="none" strike="noStrike" baseline="0">
              <a:solidFill>
                <a:srgbClr val="000000"/>
              </a:solidFill>
              <a:latin typeface="Arial"/>
              <a:cs typeface="Arial"/>
            </a:rPr>
            <a:t>Step 3.</a:t>
          </a:r>
          <a:r>
            <a:rPr lang="en-GB" sz="900" b="0" i="0" u="none" strike="noStrike" baseline="0">
              <a:solidFill>
                <a:srgbClr val="000000"/>
              </a:solidFill>
              <a:latin typeface="Arial"/>
              <a:cs typeface="Arial"/>
            </a:rPr>
            <a:t> Adjust the intervention cost in the Delivery Cost Sheet by clicking on the Update Cost Service button above.</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152400</xdr:colOff>
          <xdr:row>31</xdr:row>
          <xdr:rowOff>0</xdr:rowOff>
        </xdr:from>
        <xdr:to>
          <xdr:col>6</xdr:col>
          <xdr:colOff>342900</xdr:colOff>
          <xdr:row>33</xdr:row>
          <xdr:rowOff>9525</xdr:rowOff>
        </xdr:to>
        <xdr:sp macro="" textlink="">
          <xdr:nvSpPr>
            <xdr:cNvPr id="2139" name="btnIntCost" hidden="1">
              <a:extLst>
                <a:ext uri="{63B3BB69-23CF-44E3-9099-C40C66FF867C}">
                  <a14:compatExt spid="_x0000_s2139"/>
                </a:ext>
                <a:ext uri="{FF2B5EF4-FFF2-40B4-BE49-F238E27FC236}">
                  <a16:creationId xmlns:a16="http://schemas.microsoft.com/office/drawing/2014/main" id="{00000000-0008-0000-0000-00005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104775</xdr:colOff>
      <xdr:row>1</xdr:row>
      <xdr:rowOff>85725</xdr:rowOff>
    </xdr:from>
    <xdr:to>
      <xdr:col>19</xdr:col>
      <xdr:colOff>66675</xdr:colOff>
      <xdr:row>3</xdr:row>
      <xdr:rowOff>19050</xdr:rowOff>
    </xdr:to>
    <xdr:sp macro="" textlink="">
      <xdr:nvSpPr>
        <xdr:cNvPr id="2145" name="displaysingle">
          <a:extLst>
            <a:ext uri="{FF2B5EF4-FFF2-40B4-BE49-F238E27FC236}">
              <a16:creationId xmlns:a16="http://schemas.microsoft.com/office/drawing/2014/main" id="{00000000-0008-0000-0000-000061080000}"/>
            </a:ext>
          </a:extLst>
        </xdr:cNvPr>
        <xdr:cNvSpPr txBox="1">
          <a:spLocks noChangeArrowheads="1"/>
        </xdr:cNvSpPr>
      </xdr:nvSpPr>
      <xdr:spPr bwMode="auto">
        <a:xfrm>
          <a:off x="7200900" y="142875"/>
          <a:ext cx="866775" cy="42862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Open Single Family Charts</a:t>
          </a:r>
        </a:p>
      </xdr:txBody>
    </xdr:sp>
    <xdr:clientData/>
  </xdr:twoCellAnchor>
  <xdr:twoCellAnchor editAs="oneCell">
    <xdr:from>
      <xdr:col>20</xdr:col>
      <xdr:colOff>0</xdr:colOff>
      <xdr:row>1</xdr:row>
      <xdr:rowOff>76200</xdr:rowOff>
    </xdr:from>
    <xdr:to>
      <xdr:col>21</xdr:col>
      <xdr:colOff>447675</xdr:colOff>
      <xdr:row>3</xdr:row>
      <xdr:rowOff>9525</xdr:rowOff>
    </xdr:to>
    <xdr:sp macro="" textlink="">
      <xdr:nvSpPr>
        <xdr:cNvPr id="2146" name="displaysingle">
          <a:extLst>
            <a:ext uri="{FF2B5EF4-FFF2-40B4-BE49-F238E27FC236}">
              <a16:creationId xmlns:a16="http://schemas.microsoft.com/office/drawing/2014/main" id="{00000000-0008-0000-0000-000062080000}"/>
            </a:ext>
          </a:extLst>
        </xdr:cNvPr>
        <xdr:cNvSpPr txBox="1">
          <a:spLocks noChangeArrowheads="1"/>
        </xdr:cNvSpPr>
      </xdr:nvSpPr>
      <xdr:spPr bwMode="auto">
        <a:xfrm>
          <a:off x="8610600" y="133350"/>
          <a:ext cx="923925" cy="428625"/>
        </a:xfrm>
        <a:prstGeom prst="rect">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Arial"/>
              <a:cs typeface="Arial"/>
            </a:rPr>
            <a:t>Open Caseload Family Charts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209550</xdr:colOff>
      <xdr:row>16</xdr:row>
      <xdr:rowOff>0</xdr:rowOff>
    </xdr:from>
    <xdr:to>
      <xdr:col>7</xdr:col>
      <xdr:colOff>1905000</xdr:colOff>
      <xdr:row>22</xdr:row>
      <xdr:rowOff>47625</xdr:rowOff>
    </xdr:to>
    <xdr:sp macro="" textlink="">
      <xdr:nvSpPr>
        <xdr:cNvPr id="188417" name="AutoShape 1">
          <a:extLst>
            <a:ext uri="{FF2B5EF4-FFF2-40B4-BE49-F238E27FC236}">
              <a16:creationId xmlns:a16="http://schemas.microsoft.com/office/drawing/2014/main" id="{00000000-0008-0000-0100-000001E00200}"/>
            </a:ext>
          </a:extLst>
        </xdr:cNvPr>
        <xdr:cNvSpPr>
          <a:spLocks noChangeArrowheads="1"/>
        </xdr:cNvSpPr>
      </xdr:nvSpPr>
      <xdr:spPr bwMode="auto">
        <a:xfrm>
          <a:off x="4257675" y="2752725"/>
          <a:ext cx="2114550" cy="1057275"/>
        </a:xfrm>
        <a:prstGeom prst="wedgeRoundRectCallout">
          <a:avLst>
            <a:gd name="adj1" fmla="val -59009"/>
            <a:gd name="adj2" fmla="val -31083"/>
            <a:gd name="adj3" fmla="val 16667"/>
          </a:avLst>
        </a:prstGeom>
        <a:solidFill>
          <a:srgbClr xmlns:mc="http://schemas.openxmlformats.org/markup-compatibility/2006" xmlns:a14="http://schemas.microsoft.com/office/drawing/2010/main" val="000080" mc:Ignorable="a14" a14:legacySpreadsheetColorIndex="1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FFFFFF"/>
              </a:solidFill>
              <a:latin typeface="Arial"/>
              <a:cs typeface="Arial"/>
            </a:rPr>
            <a:t>Use this sheet to calculate a cost of delivering a family intervention service per family. Use this calculated cost to replace the default intervention cost of £0.</a:t>
          </a:r>
        </a:p>
      </xdr:txBody>
    </xdr:sp>
    <xdr:clientData/>
  </xdr:twoCellAnchor>
  <mc:AlternateContent xmlns:mc="http://schemas.openxmlformats.org/markup-compatibility/2006">
    <mc:Choice xmlns:a14="http://schemas.microsoft.com/office/drawing/2010/main" Requires="a14">
      <xdr:twoCellAnchor editAs="oneCell">
        <xdr:from>
          <xdr:col>3</xdr:col>
          <xdr:colOff>504825</xdr:colOff>
          <xdr:row>1</xdr:row>
          <xdr:rowOff>104775</xdr:rowOff>
        </xdr:from>
        <xdr:to>
          <xdr:col>3</xdr:col>
          <xdr:colOff>1009650</xdr:colOff>
          <xdr:row>3</xdr:row>
          <xdr:rowOff>47625</xdr:rowOff>
        </xdr:to>
        <xdr:sp macro="" textlink="">
          <xdr:nvSpPr>
            <xdr:cNvPr id="188418" name="btnClear" hidden="1">
              <a:extLst>
                <a:ext uri="{63B3BB69-23CF-44E3-9099-C40C66FF867C}">
                  <a14:compatExt spid="_x0000_s188418"/>
                </a:ext>
                <a:ext uri="{FF2B5EF4-FFF2-40B4-BE49-F238E27FC236}">
                  <a16:creationId xmlns:a16="http://schemas.microsoft.com/office/drawing/2014/main" id="{00000000-0008-0000-01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2009775</xdr:colOff>
          <xdr:row>1</xdr:row>
          <xdr:rowOff>104775</xdr:rowOff>
        </xdr:from>
        <xdr:to>
          <xdr:col>3</xdr:col>
          <xdr:colOff>428625</xdr:colOff>
          <xdr:row>3</xdr:row>
          <xdr:rowOff>47625</xdr:rowOff>
        </xdr:to>
        <xdr:sp macro="" textlink="">
          <xdr:nvSpPr>
            <xdr:cNvPr id="188419" name="btnHome" hidden="1">
              <a:extLst>
                <a:ext uri="{63B3BB69-23CF-44E3-9099-C40C66FF867C}">
                  <a14:compatExt spid="_x0000_s188419"/>
                </a:ext>
                <a:ext uri="{FF2B5EF4-FFF2-40B4-BE49-F238E27FC236}">
                  <a16:creationId xmlns:a16="http://schemas.microsoft.com/office/drawing/2014/main" id="{00000000-0008-0000-01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133350</xdr:rowOff>
        </xdr:from>
        <xdr:to>
          <xdr:col>7</xdr:col>
          <xdr:colOff>1895475</xdr:colOff>
          <xdr:row>14</xdr:row>
          <xdr:rowOff>47625</xdr:rowOff>
        </xdr:to>
        <xdr:sp macro="" textlink="">
          <xdr:nvSpPr>
            <xdr:cNvPr id="188424" name="Select_Input" hidden="1">
              <a:extLst>
                <a:ext uri="{63B3BB69-23CF-44E3-9099-C40C66FF867C}">
                  <a14:compatExt spid="_x0000_s188424"/>
                </a:ext>
                <a:ext uri="{FF2B5EF4-FFF2-40B4-BE49-F238E27FC236}">
                  <a16:creationId xmlns:a16="http://schemas.microsoft.com/office/drawing/2014/main" id="{00000000-0008-0000-0100-00000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123825</xdr:colOff>
      <xdr:row>31</xdr:row>
      <xdr:rowOff>133350</xdr:rowOff>
    </xdr:from>
    <xdr:to>
      <xdr:col>7</xdr:col>
      <xdr:colOff>2057400</xdr:colOff>
      <xdr:row>35</xdr:row>
      <xdr:rowOff>66675</xdr:rowOff>
    </xdr:to>
    <xdr:sp macro="" textlink="">
      <xdr:nvSpPr>
        <xdr:cNvPr id="188425" name="AnnTotal" hidden="1">
          <a:extLst>
            <a:ext uri="{FF2B5EF4-FFF2-40B4-BE49-F238E27FC236}">
              <a16:creationId xmlns:a16="http://schemas.microsoft.com/office/drawing/2014/main" id="{00000000-0008-0000-0100-000009E00200}"/>
            </a:ext>
          </a:extLst>
        </xdr:cNvPr>
        <xdr:cNvSpPr>
          <a:spLocks noChangeArrowheads="1"/>
        </xdr:cNvSpPr>
      </xdr:nvSpPr>
      <xdr:spPr bwMode="auto">
        <a:xfrm>
          <a:off x="4410075" y="5362575"/>
          <a:ext cx="2114550" cy="647700"/>
        </a:xfrm>
        <a:prstGeom prst="wedgeRoundRectCallout">
          <a:avLst>
            <a:gd name="adj1" fmla="val -74324"/>
            <a:gd name="adj2" fmla="val -10296"/>
            <a:gd name="adj3" fmla="val 16667"/>
          </a:avLst>
        </a:prstGeom>
        <a:solidFill>
          <a:srgbClr xmlns:mc="http://schemas.openxmlformats.org/markup-compatibility/2006" xmlns:a14="http://schemas.microsoft.com/office/drawing/2010/main" val="000080" mc:Ignorable="a14" a14:legacySpreadsheetColorIndex="1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1000" b="0" i="0" u="none" strike="noStrike" baseline="0">
              <a:solidFill>
                <a:srgbClr val="FFFFFF"/>
              </a:solidFill>
              <a:latin typeface="Arial"/>
              <a:cs typeface="Arial"/>
            </a:rPr>
            <a:t>Instead of providing a breakdown of expenditure enter the total cost per year in this box.</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142875</xdr:rowOff>
        </xdr:from>
        <xdr:to>
          <xdr:col>0</xdr:col>
          <xdr:colOff>742950</xdr:colOff>
          <xdr:row>4</xdr:row>
          <xdr:rowOff>390525</xdr:rowOff>
        </xdr:to>
        <xdr:sp macro="" textlink="">
          <xdr:nvSpPr>
            <xdr:cNvPr id="1027" name="btnClear"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2581275</xdr:colOff>
          <xdr:row>1</xdr:row>
          <xdr:rowOff>57150</xdr:rowOff>
        </xdr:from>
        <xdr:to>
          <xdr:col>0</xdr:col>
          <xdr:colOff>3114675</xdr:colOff>
          <xdr:row>2</xdr:row>
          <xdr:rowOff>190500</xdr:rowOff>
        </xdr:to>
        <xdr:sp macro="" textlink="">
          <xdr:nvSpPr>
            <xdr:cNvPr id="1060" name="btnHome" hidden="1">
              <a:extLst>
                <a:ext uri="{63B3BB69-23CF-44E3-9099-C40C66FF867C}">
                  <a14:compatExt spid="_x0000_s1060"/>
                </a:ext>
                <a:ext uri="{FF2B5EF4-FFF2-40B4-BE49-F238E27FC236}">
                  <a16:creationId xmlns:a16="http://schemas.microsoft.com/office/drawing/2014/main" id="{00000000-0008-0000-0200-00002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9525</xdr:colOff>
      <xdr:row>0</xdr:row>
      <xdr:rowOff>0</xdr:rowOff>
    </xdr:from>
    <xdr:to>
      <xdr:col>0</xdr:col>
      <xdr:colOff>1447800</xdr:colOff>
      <xdr:row>4</xdr:row>
      <xdr:rowOff>9525</xdr:rowOff>
    </xdr:to>
    <xdr:pic>
      <xdr:nvPicPr>
        <xdr:cNvPr id="1131" name="Picture 81" descr="WGLOGONew">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14382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114300</xdr:colOff>
      <xdr:row>7</xdr:row>
      <xdr:rowOff>123825</xdr:rowOff>
    </xdr:to>
    <xdr:pic>
      <xdr:nvPicPr>
        <xdr:cNvPr id="198662" name="Picture 2" descr="WGLOGONew">
          <a:extLst>
            <a:ext uri="{FF2B5EF4-FFF2-40B4-BE49-F238E27FC236}">
              <a16:creationId xmlns:a16="http://schemas.microsoft.com/office/drawing/2014/main" id="{00000000-0008-0000-0300-0000060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9050"/>
          <a:ext cx="13049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161925</xdr:colOff>
          <xdr:row>8</xdr:row>
          <xdr:rowOff>28575</xdr:rowOff>
        </xdr:from>
        <xdr:to>
          <xdr:col>6</xdr:col>
          <xdr:colOff>57150</xdr:colOff>
          <xdr:row>8</xdr:row>
          <xdr:rowOff>285750</xdr:rowOff>
        </xdr:to>
        <xdr:sp macro="" textlink="">
          <xdr:nvSpPr>
            <xdr:cNvPr id="198659" name="CommandButton1" hidden="1">
              <a:extLst>
                <a:ext uri="{63B3BB69-23CF-44E3-9099-C40C66FF867C}">
                  <a14:compatExt spid="_x0000_s198659"/>
                </a:ext>
                <a:ext uri="{FF2B5EF4-FFF2-40B4-BE49-F238E27FC236}">
                  <a16:creationId xmlns:a16="http://schemas.microsoft.com/office/drawing/2014/main" id="{00000000-0008-0000-0300-000003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xdr:colOff>
          <xdr:row>23</xdr:row>
          <xdr:rowOff>104775</xdr:rowOff>
        </xdr:from>
        <xdr:to>
          <xdr:col>9</xdr:col>
          <xdr:colOff>933450</xdr:colOff>
          <xdr:row>28</xdr:row>
          <xdr:rowOff>9525</xdr:rowOff>
        </xdr:to>
        <xdr:sp macro="" textlink="">
          <xdr:nvSpPr>
            <xdr:cNvPr id="91401" name="guidancenote" hidden="1">
              <a:extLst>
                <a:ext uri="{63B3BB69-23CF-44E3-9099-C40C66FF867C}">
                  <a14:compatExt spid="_x0000_s91401"/>
                </a:ext>
                <a:ext uri="{FF2B5EF4-FFF2-40B4-BE49-F238E27FC236}">
                  <a16:creationId xmlns:a16="http://schemas.microsoft.com/office/drawing/2014/main" id="{00000000-0008-0000-0400-00000965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1</xdr:col>
      <xdr:colOff>9525</xdr:colOff>
      <xdr:row>3</xdr:row>
      <xdr:rowOff>38100</xdr:rowOff>
    </xdr:from>
    <xdr:to>
      <xdr:col>18</xdr:col>
      <xdr:colOff>133350</xdr:colOff>
      <xdr:row>31</xdr:row>
      <xdr:rowOff>66675</xdr:rowOff>
    </xdr:to>
    <xdr:graphicFrame macro="">
      <xdr:nvGraphicFramePr>
        <xdr:cNvPr id="77837" name="Chart 1">
          <a:extLst>
            <a:ext uri="{FF2B5EF4-FFF2-40B4-BE49-F238E27FC236}">
              <a16:creationId xmlns:a16="http://schemas.microsoft.com/office/drawing/2014/main" id="{00000000-0008-0000-0500-00000D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absolute">
        <xdr:from>
          <xdr:col>1</xdr:col>
          <xdr:colOff>0</xdr:colOff>
          <xdr:row>0</xdr:row>
          <xdr:rowOff>152400</xdr:rowOff>
        </xdr:from>
        <xdr:to>
          <xdr:col>2</xdr:col>
          <xdr:colOff>733425</xdr:colOff>
          <xdr:row>2</xdr:row>
          <xdr:rowOff>38100</xdr:rowOff>
        </xdr:to>
        <xdr:sp macro="" textlink="">
          <xdr:nvSpPr>
            <xdr:cNvPr id="77827" name="btnHome1" hidden="1">
              <a:extLst>
                <a:ext uri="{63B3BB69-23CF-44E3-9099-C40C66FF867C}">
                  <a14:compatExt spid="_x0000_s77827"/>
                </a:ext>
                <a:ext uri="{FF2B5EF4-FFF2-40B4-BE49-F238E27FC236}">
                  <a16:creationId xmlns:a16="http://schemas.microsoft.com/office/drawing/2014/main" id="{00000000-0008-0000-0500-00000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990600</xdr:colOff>
          <xdr:row>0</xdr:row>
          <xdr:rowOff>66675</xdr:rowOff>
        </xdr:from>
        <xdr:to>
          <xdr:col>3</xdr:col>
          <xdr:colOff>266700</xdr:colOff>
          <xdr:row>2</xdr:row>
          <xdr:rowOff>57150</xdr:rowOff>
        </xdr:to>
        <xdr:sp macro="" textlink="">
          <xdr:nvSpPr>
            <xdr:cNvPr id="77829" name="imgtop10" hidden="1">
              <a:extLst>
                <a:ext uri="{63B3BB69-23CF-44E3-9099-C40C66FF867C}">
                  <a14:compatExt spid="_x0000_s77829"/>
                </a:ext>
                <a:ext uri="{FF2B5EF4-FFF2-40B4-BE49-F238E27FC236}">
                  <a16:creationId xmlns:a16="http://schemas.microsoft.com/office/drawing/2014/main" id="{00000000-0008-0000-0500-00000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381000</xdr:colOff>
          <xdr:row>0</xdr:row>
          <xdr:rowOff>66675</xdr:rowOff>
        </xdr:from>
        <xdr:to>
          <xdr:col>4</xdr:col>
          <xdr:colOff>257175</xdr:colOff>
          <xdr:row>2</xdr:row>
          <xdr:rowOff>57150</xdr:rowOff>
        </xdr:to>
        <xdr:sp macro="" textlink="">
          <xdr:nvSpPr>
            <xdr:cNvPr id="77830" name="imgprepost" hidden="1">
              <a:extLst>
                <a:ext uri="{63B3BB69-23CF-44E3-9099-C40C66FF867C}">
                  <a14:compatExt spid="_x0000_s77830"/>
                </a:ext>
                <a:ext uri="{FF2B5EF4-FFF2-40B4-BE49-F238E27FC236}">
                  <a16:creationId xmlns:a16="http://schemas.microsoft.com/office/drawing/2014/main" id="{00000000-0008-0000-0500-00000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209550</xdr:colOff>
      <xdr:row>63</xdr:row>
      <xdr:rowOff>9525</xdr:rowOff>
    </xdr:from>
    <xdr:to>
      <xdr:col>15</xdr:col>
      <xdr:colOff>485775</xdr:colOff>
      <xdr:row>86</xdr:row>
      <xdr:rowOff>57150</xdr:rowOff>
    </xdr:to>
    <xdr:graphicFrame macro="">
      <xdr:nvGraphicFramePr>
        <xdr:cNvPr id="77838" name="Chart 8">
          <a:extLst>
            <a:ext uri="{FF2B5EF4-FFF2-40B4-BE49-F238E27FC236}">
              <a16:creationId xmlns:a16="http://schemas.microsoft.com/office/drawing/2014/main" id="{00000000-0008-0000-0500-00000E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24</xdr:col>
      <xdr:colOff>66675</xdr:colOff>
      <xdr:row>30</xdr:row>
      <xdr:rowOff>180975</xdr:rowOff>
    </xdr:from>
    <xdr:to>
      <xdr:col>27</xdr:col>
      <xdr:colOff>419100</xdr:colOff>
      <xdr:row>37</xdr:row>
      <xdr:rowOff>66675</xdr:rowOff>
    </xdr:to>
    <xdr:sp macro="" textlink="">
      <xdr:nvSpPr>
        <xdr:cNvPr id="82965" name="step4" hidden="1">
          <a:extLst>
            <a:ext uri="{FF2B5EF4-FFF2-40B4-BE49-F238E27FC236}">
              <a16:creationId xmlns:a16="http://schemas.microsoft.com/office/drawing/2014/main" id="{00000000-0008-0000-0700-000015440100}"/>
            </a:ext>
          </a:extLst>
        </xdr:cNvPr>
        <xdr:cNvSpPr>
          <a:spLocks noChangeArrowheads="1"/>
        </xdr:cNvSpPr>
      </xdr:nvSpPr>
      <xdr:spPr bwMode="auto">
        <a:xfrm>
          <a:off x="13725525" y="5181600"/>
          <a:ext cx="2609850" cy="1209675"/>
        </a:xfrm>
        <a:prstGeom prst="wedgeRoundRectCallout">
          <a:avLst>
            <a:gd name="adj1" fmla="val -154014"/>
            <a:gd name="adj2" fmla="val 79921"/>
            <a:gd name="adj3" fmla="val 16667"/>
          </a:avLst>
        </a:prstGeom>
        <a:solidFill>
          <a:srgbClr val="CCE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Step 4.</a:t>
          </a:r>
          <a:r>
            <a:rPr lang="en-GB" sz="900" b="0" i="0" u="none" strike="noStrike" baseline="0">
              <a:solidFill>
                <a:srgbClr val="000000"/>
              </a:solidFill>
              <a:latin typeface="Arial"/>
              <a:cs typeface="Arial"/>
            </a:rPr>
            <a:t> Next, in this row enter the number of families over the years that are expected to successfully complete and intervention to calculate a cost avoidance projection for each year. TIP: Start the first year of the projection with a known number of families to create a baseline.</a:t>
          </a:r>
        </a:p>
      </xdr:txBody>
    </xdr:sp>
    <xdr:clientData fPrintsWithSheet="0"/>
  </xdr:twoCellAnchor>
  <xdr:twoCellAnchor>
    <xdr:from>
      <xdr:col>1</xdr:col>
      <xdr:colOff>0</xdr:colOff>
      <xdr:row>3</xdr:row>
      <xdr:rowOff>76200</xdr:rowOff>
    </xdr:from>
    <xdr:to>
      <xdr:col>20</xdr:col>
      <xdr:colOff>447675</xdr:colOff>
      <xdr:row>27</xdr:row>
      <xdr:rowOff>47625</xdr:rowOff>
    </xdr:to>
    <xdr:graphicFrame macro="">
      <xdr:nvGraphicFramePr>
        <xdr:cNvPr id="82996" name="Chart 1">
          <a:extLst>
            <a:ext uri="{FF2B5EF4-FFF2-40B4-BE49-F238E27FC236}">
              <a16:creationId xmlns:a16="http://schemas.microsoft.com/office/drawing/2014/main" id="{00000000-0008-0000-0700-0000344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171450</xdr:colOff>
          <xdr:row>0</xdr:row>
          <xdr:rowOff>152400</xdr:rowOff>
        </xdr:from>
        <xdr:to>
          <xdr:col>3</xdr:col>
          <xdr:colOff>180975</xdr:colOff>
          <xdr:row>2</xdr:row>
          <xdr:rowOff>38100</xdr:rowOff>
        </xdr:to>
        <xdr:sp macro="" textlink="">
          <xdr:nvSpPr>
            <xdr:cNvPr id="82947" name="btnHome2" hidden="1">
              <a:extLst>
                <a:ext uri="{63B3BB69-23CF-44E3-9099-C40C66FF867C}">
                  <a14:compatExt spid="_x0000_s82947"/>
                </a:ext>
                <a:ext uri="{FF2B5EF4-FFF2-40B4-BE49-F238E27FC236}">
                  <a16:creationId xmlns:a16="http://schemas.microsoft.com/office/drawing/2014/main" id="{00000000-0008-0000-0700-0000034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14</xdr:col>
      <xdr:colOff>9525</xdr:colOff>
      <xdr:row>55</xdr:row>
      <xdr:rowOff>47625</xdr:rowOff>
    </xdr:from>
    <xdr:to>
      <xdr:col>15</xdr:col>
      <xdr:colOff>76200</xdr:colOff>
      <xdr:row>56</xdr:row>
      <xdr:rowOff>114300</xdr:rowOff>
    </xdr:to>
    <xdr:sp macro="" textlink="">
      <xdr:nvSpPr>
        <xdr:cNvPr id="82997" name="AutoShape 11">
          <a:extLst>
            <a:ext uri="{FF2B5EF4-FFF2-40B4-BE49-F238E27FC236}">
              <a16:creationId xmlns:a16="http://schemas.microsoft.com/office/drawing/2014/main" id="{00000000-0008-0000-0700-000035440100}"/>
            </a:ext>
          </a:extLst>
        </xdr:cNvPr>
        <xdr:cNvSpPr>
          <a:spLocks noChangeArrowheads="1"/>
        </xdr:cNvSpPr>
      </xdr:nvSpPr>
      <xdr:spPr bwMode="auto">
        <a:xfrm>
          <a:off x="7029450" y="9286875"/>
          <a:ext cx="323850" cy="209550"/>
        </a:xfrm>
        <a:prstGeom prst="leftArrow">
          <a:avLst>
            <a:gd name="adj1" fmla="val 50000"/>
            <a:gd name="adj2" fmla="val 38636"/>
          </a:avLst>
        </a:prstGeom>
        <a:solidFill>
          <a:srgbClr xmlns:mc="http://schemas.openxmlformats.org/markup-compatibility/2006" xmlns:a14="http://schemas.microsoft.com/office/drawing/2010/main" val="FFFF00" mc:Ignorable="a14" a14:legacySpreadsheetColorIndex="13"/>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fPrintsWithSheet="0"/>
  </xdr:twoCellAnchor>
  <xdr:twoCellAnchor>
    <xdr:from>
      <xdr:col>18</xdr:col>
      <xdr:colOff>438150</xdr:colOff>
      <xdr:row>36</xdr:row>
      <xdr:rowOff>0</xdr:rowOff>
    </xdr:from>
    <xdr:to>
      <xdr:col>20</xdr:col>
      <xdr:colOff>123825</xdr:colOff>
      <xdr:row>37</xdr:row>
      <xdr:rowOff>9525</xdr:rowOff>
    </xdr:to>
    <xdr:sp macro="" textlink="">
      <xdr:nvSpPr>
        <xdr:cNvPr id="82998" name="AutoShape 12">
          <a:extLst>
            <a:ext uri="{FF2B5EF4-FFF2-40B4-BE49-F238E27FC236}">
              <a16:creationId xmlns:a16="http://schemas.microsoft.com/office/drawing/2014/main" id="{00000000-0008-0000-0700-000036440100}"/>
            </a:ext>
          </a:extLst>
        </xdr:cNvPr>
        <xdr:cNvSpPr>
          <a:spLocks noChangeArrowheads="1"/>
        </xdr:cNvSpPr>
      </xdr:nvSpPr>
      <xdr:spPr bwMode="auto">
        <a:xfrm rot="10800000">
          <a:off x="9677400" y="6153150"/>
          <a:ext cx="1095375" cy="180975"/>
        </a:xfrm>
        <a:prstGeom prst="leftArrow">
          <a:avLst>
            <a:gd name="adj1" fmla="val 50000"/>
            <a:gd name="adj2" fmla="val 151316"/>
          </a:avLst>
        </a:prstGeom>
        <a:solidFill>
          <a:srgbClr xmlns:mc="http://schemas.openxmlformats.org/markup-compatibility/2006" xmlns:a14="http://schemas.microsoft.com/office/drawing/2010/main" val="FFFF00" mc:Ignorable="a14" a14:legacySpreadsheetColorIndex="13"/>
        </a:solidFill>
        <a:ln w="1270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absolute">
    <xdr:from>
      <xdr:col>13</xdr:col>
      <xdr:colOff>476250</xdr:colOff>
      <xdr:row>27</xdr:row>
      <xdr:rowOff>142875</xdr:rowOff>
    </xdr:from>
    <xdr:to>
      <xdr:col>17</xdr:col>
      <xdr:colOff>1390650</xdr:colOff>
      <xdr:row>30</xdr:row>
      <xdr:rowOff>95250</xdr:rowOff>
    </xdr:to>
    <xdr:sp macro="" textlink="">
      <xdr:nvSpPr>
        <xdr:cNvPr id="82960" name="step2" hidden="1">
          <a:extLst>
            <a:ext uri="{FF2B5EF4-FFF2-40B4-BE49-F238E27FC236}">
              <a16:creationId xmlns:a16="http://schemas.microsoft.com/office/drawing/2014/main" id="{00000000-0008-0000-0700-000010440100}"/>
            </a:ext>
          </a:extLst>
        </xdr:cNvPr>
        <xdr:cNvSpPr>
          <a:spLocks noChangeArrowheads="1"/>
        </xdr:cNvSpPr>
      </xdr:nvSpPr>
      <xdr:spPr bwMode="auto">
        <a:xfrm>
          <a:off x="6915150" y="4552950"/>
          <a:ext cx="2124075" cy="542925"/>
        </a:xfrm>
        <a:prstGeom prst="wedgeRoundRectCallout">
          <a:avLst>
            <a:gd name="adj1" fmla="val -48208"/>
            <a:gd name="adj2" fmla="val 92106"/>
            <a:gd name="adj3" fmla="val 16667"/>
          </a:avLst>
        </a:prstGeom>
        <a:solidFill>
          <a:srgbClr val="CCE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Step 2.</a:t>
          </a:r>
          <a:r>
            <a:rPr lang="en-GB" sz="900" b="0" i="0" u="none" strike="noStrike" baseline="0">
              <a:solidFill>
                <a:srgbClr val="000000"/>
              </a:solidFill>
              <a:latin typeface="Arial"/>
              <a:cs typeface="Arial"/>
            </a:rPr>
            <a:t> Enter the number of families who have successfully completed an intervention in a specific year. </a:t>
          </a:r>
        </a:p>
      </xdr:txBody>
    </xdr:sp>
    <xdr:clientData fPrintsWithSheet="0"/>
  </xdr:twoCellAnchor>
  <xdr:twoCellAnchor editAs="absolute">
    <xdr:from>
      <xdr:col>10</xdr:col>
      <xdr:colOff>428625</xdr:colOff>
      <xdr:row>61</xdr:row>
      <xdr:rowOff>95250</xdr:rowOff>
    </xdr:from>
    <xdr:to>
      <xdr:col>14</xdr:col>
      <xdr:colOff>171450</xdr:colOff>
      <xdr:row>67</xdr:row>
      <xdr:rowOff>123825</xdr:rowOff>
    </xdr:to>
    <xdr:sp macro="" textlink="">
      <xdr:nvSpPr>
        <xdr:cNvPr id="82961" name="step2b" hidden="1">
          <a:extLst>
            <a:ext uri="{FF2B5EF4-FFF2-40B4-BE49-F238E27FC236}">
              <a16:creationId xmlns:a16="http://schemas.microsoft.com/office/drawing/2014/main" id="{00000000-0008-0000-0700-000011440100}"/>
            </a:ext>
          </a:extLst>
        </xdr:cNvPr>
        <xdr:cNvSpPr>
          <a:spLocks noChangeArrowheads="1"/>
        </xdr:cNvSpPr>
      </xdr:nvSpPr>
      <xdr:spPr bwMode="auto">
        <a:xfrm>
          <a:off x="5353050" y="10306050"/>
          <a:ext cx="1838325" cy="1000125"/>
        </a:xfrm>
        <a:prstGeom prst="wedgeRoundRectCallout">
          <a:avLst>
            <a:gd name="adj1" fmla="val 34972"/>
            <a:gd name="adj2" fmla="val -98079"/>
            <a:gd name="adj3" fmla="val 16667"/>
          </a:avLst>
        </a:prstGeom>
        <a:solidFill>
          <a:srgbClr val="CCE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0" i="0" u="none" strike="noStrike" baseline="0">
              <a:solidFill>
                <a:srgbClr val="000000"/>
              </a:solidFill>
              <a:latin typeface="Arial"/>
              <a:cs typeface="Arial"/>
            </a:rPr>
            <a:t>Once the number of families who have completed an intervention in a year have been entered, the estimate in-year service-wide savings will be calculated.</a:t>
          </a:r>
        </a:p>
      </xdr:txBody>
    </xdr:sp>
    <xdr:clientData fPrintsWithSheet="0"/>
  </xdr:twoCellAnchor>
  <xdr:twoCellAnchor editAs="absolute">
    <xdr:from>
      <xdr:col>19</xdr:col>
      <xdr:colOff>438150</xdr:colOff>
      <xdr:row>28</xdr:row>
      <xdr:rowOff>19050</xdr:rowOff>
    </xdr:from>
    <xdr:to>
      <xdr:col>22</xdr:col>
      <xdr:colOff>609600</xdr:colOff>
      <xdr:row>32</xdr:row>
      <xdr:rowOff>76200</xdr:rowOff>
    </xdr:to>
    <xdr:sp macro="" textlink="">
      <xdr:nvSpPr>
        <xdr:cNvPr id="82962" name="step3" hidden="1">
          <a:extLst>
            <a:ext uri="{FF2B5EF4-FFF2-40B4-BE49-F238E27FC236}">
              <a16:creationId xmlns:a16="http://schemas.microsoft.com/office/drawing/2014/main" id="{00000000-0008-0000-0700-000012440100}"/>
            </a:ext>
          </a:extLst>
        </xdr:cNvPr>
        <xdr:cNvSpPr>
          <a:spLocks noChangeArrowheads="1"/>
        </xdr:cNvSpPr>
      </xdr:nvSpPr>
      <xdr:spPr bwMode="auto">
        <a:xfrm>
          <a:off x="10248900" y="4581525"/>
          <a:ext cx="2514600" cy="895350"/>
        </a:xfrm>
        <a:prstGeom prst="wedgeRoundRectCallout">
          <a:avLst>
            <a:gd name="adj1" fmla="val -68181"/>
            <a:gd name="adj2" fmla="val 92551"/>
            <a:gd name="adj3" fmla="val 16667"/>
          </a:avLst>
        </a:prstGeom>
        <a:solidFill>
          <a:srgbClr val="CCE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Step 3.</a:t>
          </a:r>
          <a:r>
            <a:rPr lang="en-GB" sz="900" b="0" i="0" u="none" strike="noStrike" baseline="0">
              <a:solidFill>
                <a:srgbClr val="000000"/>
              </a:solidFill>
              <a:latin typeface="Arial"/>
              <a:cs typeface="Arial"/>
            </a:rPr>
            <a:t> To show cost avoidance projections over many years, first enter the </a:t>
          </a:r>
          <a:r>
            <a:rPr lang="en-GB" sz="900" b="1" i="0" u="none" strike="noStrike" baseline="0">
              <a:solidFill>
                <a:srgbClr val="000000"/>
              </a:solidFill>
              <a:latin typeface="Arial"/>
              <a:cs typeface="Arial"/>
            </a:rPr>
            <a:t>start year</a:t>
          </a:r>
          <a:r>
            <a:rPr lang="en-GB" sz="900" b="0" i="0" u="none" strike="noStrike" baseline="0">
              <a:solidFill>
                <a:srgbClr val="000000"/>
              </a:solidFill>
              <a:latin typeface="Arial"/>
              <a:cs typeface="Arial"/>
            </a:rPr>
            <a:t> of the projection and then the </a:t>
          </a:r>
          <a:r>
            <a:rPr lang="en-GB" sz="900" b="1" i="0" u="none" strike="noStrike" baseline="0">
              <a:solidFill>
                <a:srgbClr val="000000"/>
              </a:solidFill>
              <a:latin typeface="Arial"/>
              <a:cs typeface="Arial"/>
            </a:rPr>
            <a:t>number of years</a:t>
          </a:r>
          <a:r>
            <a:rPr lang="en-GB" sz="900" b="0" i="0" u="none" strike="noStrike" baseline="0">
              <a:solidFill>
                <a:srgbClr val="000000"/>
              </a:solidFill>
              <a:latin typeface="Arial"/>
              <a:cs typeface="Arial"/>
            </a:rPr>
            <a:t> savings are to be forecasted across.</a:t>
          </a:r>
        </a:p>
        <a:p>
          <a:pPr algn="ctr" rtl="0">
            <a:defRPr sz="1000"/>
          </a:pPr>
          <a:r>
            <a:rPr lang="en-GB" sz="900" b="0" i="0" u="none" strike="noStrike" baseline="0">
              <a:solidFill>
                <a:srgbClr val="000000"/>
              </a:solidFill>
              <a:latin typeface="Arial"/>
              <a:cs typeface="Arial"/>
            </a:rPr>
            <a:t>Each year requested will be displayed here:</a:t>
          </a:r>
        </a:p>
      </xdr:txBody>
    </xdr:sp>
    <xdr:clientData fPrintsWithSheet="0"/>
  </xdr:twoCellAnchor>
  <xdr:twoCellAnchor>
    <xdr:from>
      <xdr:col>22</xdr:col>
      <xdr:colOff>657225</xdr:colOff>
      <xdr:row>29</xdr:row>
      <xdr:rowOff>19050</xdr:rowOff>
    </xdr:from>
    <xdr:to>
      <xdr:col>23</xdr:col>
      <xdr:colOff>533400</xdr:colOff>
      <xdr:row>35</xdr:row>
      <xdr:rowOff>9525</xdr:rowOff>
    </xdr:to>
    <xdr:sp macro="" textlink="">
      <xdr:nvSpPr>
        <xdr:cNvPr id="83002" name="step3arrow" descr="Trellis" hidden="1">
          <a:extLst>
            <a:ext uri="{FF2B5EF4-FFF2-40B4-BE49-F238E27FC236}">
              <a16:creationId xmlns:a16="http://schemas.microsoft.com/office/drawing/2014/main" id="{00000000-0008-0000-0700-00003A440100}"/>
            </a:ext>
          </a:extLst>
        </xdr:cNvPr>
        <xdr:cNvSpPr>
          <a:spLocks noChangeArrowheads="1"/>
        </xdr:cNvSpPr>
      </xdr:nvSpPr>
      <xdr:spPr bwMode="auto">
        <a:xfrm rot="5400000">
          <a:off x="12511087" y="5062538"/>
          <a:ext cx="1228725" cy="628650"/>
        </a:xfrm>
        <a:custGeom>
          <a:avLst/>
          <a:gdLst>
            <a:gd name="T0" fmla="*/ 2147483647 w 21600"/>
            <a:gd name="T1" fmla="*/ 0 h 21600"/>
            <a:gd name="T2" fmla="*/ 2147483647 w 21600"/>
            <a:gd name="T3" fmla="*/ 299727834 h 21600"/>
            <a:gd name="T4" fmla="*/ 404972742 w 21600"/>
            <a:gd name="T5" fmla="*/ 532499554 h 21600"/>
            <a:gd name="T6" fmla="*/ 2147483647 w 21600"/>
            <a:gd name="T7" fmla="*/ 149863932 h 21600"/>
            <a:gd name="T8" fmla="*/ 17694720 60000 65536"/>
            <a:gd name="T9" fmla="*/ 5898240 60000 65536"/>
            <a:gd name="T10" fmla="*/ 5898240 60000 65536"/>
            <a:gd name="T11" fmla="*/ 0 60000 65536"/>
            <a:gd name="T12" fmla="*/ 12427 w 21600"/>
            <a:gd name="T13" fmla="*/ 3927 h 21600"/>
            <a:gd name="T14" fmla="*/ 20084 w 21600"/>
            <a:gd name="T15" fmla="*/ 8231 h 21600"/>
          </a:gdLst>
          <a:ahLst/>
          <a:cxnLst>
            <a:cxn ang="T8">
              <a:pos x="T0" y="T1"/>
            </a:cxn>
            <a:cxn ang="T9">
              <a:pos x="T2" y="T3"/>
            </a:cxn>
            <a:cxn ang="T10">
              <a:pos x="T4" y="T5"/>
            </a:cxn>
            <a:cxn ang="T11">
              <a:pos x="T6" y="T7"/>
            </a:cxn>
          </a:cxnLst>
          <a:rect l="T12" t="T13" r="T14" b="T15"/>
          <a:pathLst>
            <a:path w="21600" h="21600">
              <a:moveTo>
                <a:pt x="21600" y="6079"/>
              </a:moveTo>
              <a:lnTo>
                <a:pt x="17317" y="0"/>
              </a:lnTo>
              <a:lnTo>
                <a:pt x="17317" y="3927"/>
              </a:lnTo>
              <a:lnTo>
                <a:pt x="12427" y="3927"/>
              </a:lnTo>
              <a:cubicBezTo>
                <a:pt x="5564" y="3927"/>
                <a:pt x="0" y="7612"/>
                <a:pt x="0" y="12158"/>
              </a:cubicBezTo>
              <a:lnTo>
                <a:pt x="0" y="21600"/>
              </a:lnTo>
              <a:lnTo>
                <a:pt x="4399" y="21600"/>
              </a:lnTo>
              <a:lnTo>
                <a:pt x="4399" y="12158"/>
              </a:lnTo>
              <a:cubicBezTo>
                <a:pt x="4399" y="9989"/>
                <a:pt x="7993" y="8231"/>
                <a:pt x="12427" y="8231"/>
              </a:cubicBezTo>
              <a:lnTo>
                <a:pt x="17317" y="8231"/>
              </a:lnTo>
              <a:lnTo>
                <a:pt x="17317" y="12158"/>
              </a:lnTo>
              <a:lnTo>
                <a:pt x="21600" y="6079"/>
              </a:lnTo>
              <a:close/>
            </a:path>
          </a:pathLst>
        </a:custGeom>
        <a:pattFill prst="trellis">
          <a:fgClr>
            <a:srgbClr val="CCECFF"/>
          </a:fgClr>
          <a:bgClr>
            <a:srgbClr val="FFFFFF"/>
          </a:bgClr>
        </a:patt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38100</xdr:colOff>
          <xdr:row>28</xdr:row>
          <xdr:rowOff>19050</xdr:rowOff>
        </xdr:from>
        <xdr:to>
          <xdr:col>3</xdr:col>
          <xdr:colOff>304800</xdr:colOff>
          <xdr:row>29</xdr:row>
          <xdr:rowOff>85725</xdr:rowOff>
        </xdr:to>
        <xdr:sp macro="" textlink="">
          <xdr:nvSpPr>
            <xdr:cNvPr id="82966" name="chkhints" hidden="1">
              <a:extLst>
                <a:ext uri="{63B3BB69-23CF-44E3-9099-C40C66FF867C}">
                  <a14:compatExt spid="_x0000_s82966"/>
                </a:ext>
                <a:ext uri="{FF2B5EF4-FFF2-40B4-BE49-F238E27FC236}">
                  <a16:creationId xmlns:a16="http://schemas.microsoft.com/office/drawing/2014/main" id="{00000000-0008-0000-0700-0000164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3</xdr:col>
      <xdr:colOff>342900</xdr:colOff>
      <xdr:row>25</xdr:row>
      <xdr:rowOff>28575</xdr:rowOff>
    </xdr:from>
    <xdr:to>
      <xdr:col>6</xdr:col>
      <xdr:colOff>352425</xdr:colOff>
      <xdr:row>30</xdr:row>
      <xdr:rowOff>161925</xdr:rowOff>
    </xdr:to>
    <xdr:sp macro="" textlink="">
      <xdr:nvSpPr>
        <xdr:cNvPr id="82959" name="step1" hidden="1">
          <a:extLst>
            <a:ext uri="{FF2B5EF4-FFF2-40B4-BE49-F238E27FC236}">
              <a16:creationId xmlns:a16="http://schemas.microsoft.com/office/drawing/2014/main" id="{00000000-0008-0000-0700-00000F440100}"/>
            </a:ext>
          </a:extLst>
        </xdr:cNvPr>
        <xdr:cNvSpPr>
          <a:spLocks noChangeArrowheads="1"/>
        </xdr:cNvSpPr>
      </xdr:nvSpPr>
      <xdr:spPr bwMode="auto">
        <a:xfrm>
          <a:off x="1247775" y="4171950"/>
          <a:ext cx="1838325" cy="990600"/>
        </a:xfrm>
        <a:prstGeom prst="wedgeRoundRectCallout">
          <a:avLst>
            <a:gd name="adj1" fmla="val 44819"/>
            <a:gd name="adj2" fmla="val 64421"/>
            <a:gd name="adj3" fmla="val 16667"/>
          </a:avLst>
        </a:prstGeom>
        <a:solidFill>
          <a:srgbClr val="CCECFF"/>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en-GB" sz="900" b="1" i="0" u="none" strike="noStrike" baseline="0">
              <a:solidFill>
                <a:srgbClr val="000000"/>
              </a:solidFill>
              <a:latin typeface="Arial"/>
              <a:cs typeface="Arial"/>
            </a:rPr>
            <a:t>Step 1.</a:t>
          </a:r>
          <a:r>
            <a:rPr lang="en-GB" sz="900" b="0" i="0" u="none" strike="noStrike" baseline="0">
              <a:solidFill>
                <a:srgbClr val="000000"/>
              </a:solidFill>
              <a:latin typeface="Arial"/>
              <a:cs typeface="Arial"/>
            </a:rPr>
            <a:t> To calculate average family savings, run the savings tool across a subset of families and then click on the </a:t>
          </a:r>
          <a:r>
            <a:rPr lang="en-GB" sz="900" b="1" i="0" u="none" strike="noStrike" baseline="0">
              <a:solidFill>
                <a:srgbClr val="000000"/>
              </a:solidFill>
              <a:latin typeface="Arial"/>
              <a:cs typeface="Arial"/>
            </a:rPr>
            <a:t>Calculate All Family Costs</a:t>
          </a:r>
          <a:r>
            <a:rPr lang="en-GB" sz="900" b="0" i="0" u="none" strike="noStrike" baseline="0">
              <a:solidFill>
                <a:srgbClr val="000000"/>
              </a:solidFill>
              <a:latin typeface="Arial"/>
              <a:cs typeface="Arial"/>
            </a:rPr>
            <a:t> button in the </a:t>
          </a:r>
          <a:r>
            <a:rPr lang="en-GB" sz="900" b="1" i="0" u="none" strike="noStrike" baseline="0">
              <a:solidFill>
                <a:srgbClr val="000000"/>
              </a:solidFill>
              <a:latin typeface="Arial"/>
              <a:cs typeface="Arial"/>
            </a:rPr>
            <a:t>Start</a:t>
          </a:r>
          <a:r>
            <a:rPr lang="en-GB" sz="900" b="0" i="0" u="none" strike="noStrike" baseline="0">
              <a:solidFill>
                <a:srgbClr val="000000"/>
              </a:solidFill>
              <a:latin typeface="Arial"/>
              <a:cs typeface="Arial"/>
            </a:rPr>
            <a:t> worksheet.</a:t>
          </a:r>
        </a:p>
      </xdr:txBody>
    </xdr:sp>
    <xdr:clientData fPrintsWithSheet="0"/>
  </xdr:twoCellAnchor>
  <mc:AlternateContent xmlns:mc="http://schemas.openxmlformats.org/markup-compatibility/2006">
    <mc:Choice xmlns:a14="http://schemas.microsoft.com/office/drawing/2010/main" Requires="a14">
      <xdr:twoCellAnchor editAs="oneCell">
        <xdr:from>
          <xdr:col>17</xdr:col>
          <xdr:colOff>142875</xdr:colOff>
          <xdr:row>30</xdr:row>
          <xdr:rowOff>0</xdr:rowOff>
        </xdr:from>
        <xdr:to>
          <xdr:col>17</xdr:col>
          <xdr:colOff>1019175</xdr:colOff>
          <xdr:row>31</xdr:row>
          <xdr:rowOff>47625</xdr:rowOff>
        </xdr:to>
        <xdr:sp macro="" textlink="">
          <xdr:nvSpPr>
            <xdr:cNvPr id="82969" name="chkhints2" hidden="1">
              <a:extLst>
                <a:ext uri="{63B3BB69-23CF-44E3-9099-C40C66FF867C}">
                  <a14:compatExt spid="_x0000_s82969"/>
                </a:ext>
                <a:ext uri="{FF2B5EF4-FFF2-40B4-BE49-F238E27FC236}">
                  <a16:creationId xmlns:a16="http://schemas.microsoft.com/office/drawing/2014/main" id="{00000000-0008-0000-0700-0000194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55</xdr:row>
          <xdr:rowOff>19050</xdr:rowOff>
        </xdr:from>
        <xdr:to>
          <xdr:col>3</xdr:col>
          <xdr:colOff>342900</xdr:colOff>
          <xdr:row>57</xdr:row>
          <xdr:rowOff>9525</xdr:rowOff>
        </xdr:to>
        <xdr:sp macro="" textlink="">
          <xdr:nvSpPr>
            <xdr:cNvPr id="82970" name="btnhome3" hidden="1">
              <a:extLst>
                <a:ext uri="{63B3BB69-23CF-44E3-9099-C40C66FF867C}">
                  <a14:compatExt spid="_x0000_s82970"/>
                </a:ext>
                <a:ext uri="{FF2B5EF4-FFF2-40B4-BE49-F238E27FC236}">
                  <a16:creationId xmlns:a16="http://schemas.microsoft.com/office/drawing/2014/main" id="{00000000-0008-0000-0700-00001A4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19050</xdr:colOff>
      <xdr:row>61</xdr:row>
      <xdr:rowOff>0</xdr:rowOff>
    </xdr:from>
    <xdr:to>
      <xdr:col>18</xdr:col>
      <xdr:colOff>533400</xdr:colOff>
      <xdr:row>86</xdr:row>
      <xdr:rowOff>95250</xdr:rowOff>
    </xdr:to>
    <xdr:graphicFrame macro="">
      <xdr:nvGraphicFramePr>
        <xdr:cNvPr id="83004" name="Chart 30">
          <a:extLst>
            <a:ext uri="{FF2B5EF4-FFF2-40B4-BE49-F238E27FC236}">
              <a16:creationId xmlns:a16="http://schemas.microsoft.com/office/drawing/2014/main" id="{00000000-0008-0000-0700-00003C4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142875</xdr:rowOff>
        </xdr:from>
        <xdr:to>
          <xdr:col>0</xdr:col>
          <xdr:colOff>742950</xdr:colOff>
          <xdr:row>4</xdr:row>
          <xdr:rowOff>390525</xdr:rowOff>
        </xdr:to>
        <xdr:sp macro="" textlink="">
          <xdr:nvSpPr>
            <xdr:cNvPr id="226305" name="btnClear" hidden="1">
              <a:extLst>
                <a:ext uri="{63B3BB69-23CF-44E3-9099-C40C66FF867C}">
                  <a14:compatExt spid="_x0000_s226305"/>
                </a:ext>
                <a:ext uri="{FF2B5EF4-FFF2-40B4-BE49-F238E27FC236}">
                  <a16:creationId xmlns:a16="http://schemas.microsoft.com/office/drawing/2014/main" id="{00000000-0008-0000-0800-0000017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2581275</xdr:colOff>
          <xdr:row>1</xdr:row>
          <xdr:rowOff>57150</xdr:rowOff>
        </xdr:from>
        <xdr:to>
          <xdr:col>0</xdr:col>
          <xdr:colOff>3114675</xdr:colOff>
          <xdr:row>2</xdr:row>
          <xdr:rowOff>190500</xdr:rowOff>
        </xdr:to>
        <xdr:sp macro="" textlink="">
          <xdr:nvSpPr>
            <xdr:cNvPr id="226318" name="btnHome" hidden="1">
              <a:extLst>
                <a:ext uri="{63B3BB69-23CF-44E3-9099-C40C66FF867C}">
                  <a14:compatExt spid="_x0000_s226318"/>
                </a:ext>
                <a:ext uri="{FF2B5EF4-FFF2-40B4-BE49-F238E27FC236}">
                  <a16:creationId xmlns:a16="http://schemas.microsoft.com/office/drawing/2014/main" id="{00000000-0008-0000-0800-00000E7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9525</xdr:colOff>
      <xdr:row>0</xdr:row>
      <xdr:rowOff>0</xdr:rowOff>
    </xdr:from>
    <xdr:to>
      <xdr:col>0</xdr:col>
      <xdr:colOff>1447800</xdr:colOff>
      <xdr:row>4</xdr:row>
      <xdr:rowOff>9525</xdr:rowOff>
    </xdr:to>
    <xdr:pic>
      <xdr:nvPicPr>
        <xdr:cNvPr id="226353" name="Picture 35" descr="WGLOGONew">
          <a:extLst>
            <a:ext uri="{FF2B5EF4-FFF2-40B4-BE49-F238E27FC236}">
              <a16:creationId xmlns:a16="http://schemas.microsoft.com/office/drawing/2014/main" id="{00000000-0008-0000-0800-00003174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14382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xdr:row>
          <xdr:rowOff>142875</xdr:rowOff>
        </xdr:from>
        <xdr:to>
          <xdr:col>0</xdr:col>
          <xdr:colOff>742950</xdr:colOff>
          <xdr:row>4</xdr:row>
          <xdr:rowOff>390525</xdr:rowOff>
        </xdr:to>
        <xdr:sp macro="" textlink="">
          <xdr:nvSpPr>
            <xdr:cNvPr id="228353" name="btnClear" hidden="1">
              <a:extLst>
                <a:ext uri="{63B3BB69-23CF-44E3-9099-C40C66FF867C}">
                  <a14:compatExt spid="_x0000_s228353"/>
                </a:ext>
                <a:ext uri="{FF2B5EF4-FFF2-40B4-BE49-F238E27FC236}">
                  <a16:creationId xmlns:a16="http://schemas.microsoft.com/office/drawing/2014/main" id="{00000000-0008-0000-0900-0000017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2581275</xdr:colOff>
          <xdr:row>1</xdr:row>
          <xdr:rowOff>57150</xdr:rowOff>
        </xdr:from>
        <xdr:to>
          <xdr:col>0</xdr:col>
          <xdr:colOff>3114675</xdr:colOff>
          <xdr:row>2</xdr:row>
          <xdr:rowOff>190500</xdr:rowOff>
        </xdr:to>
        <xdr:sp macro="" textlink="">
          <xdr:nvSpPr>
            <xdr:cNvPr id="228366" name="btnHome" hidden="1">
              <a:extLst>
                <a:ext uri="{63B3BB69-23CF-44E3-9099-C40C66FF867C}">
                  <a14:compatExt spid="_x0000_s228366"/>
                </a:ext>
                <a:ext uri="{FF2B5EF4-FFF2-40B4-BE49-F238E27FC236}">
                  <a16:creationId xmlns:a16="http://schemas.microsoft.com/office/drawing/2014/main" id="{00000000-0008-0000-0900-00000E7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9525</xdr:colOff>
      <xdr:row>0</xdr:row>
      <xdr:rowOff>0</xdr:rowOff>
    </xdr:from>
    <xdr:to>
      <xdr:col>0</xdr:col>
      <xdr:colOff>1447800</xdr:colOff>
      <xdr:row>4</xdr:row>
      <xdr:rowOff>9525</xdr:rowOff>
    </xdr:to>
    <xdr:pic>
      <xdr:nvPicPr>
        <xdr:cNvPr id="228401" name="Picture 35" descr="WGLOGONew">
          <a:extLst>
            <a:ext uri="{FF2B5EF4-FFF2-40B4-BE49-F238E27FC236}">
              <a16:creationId xmlns:a16="http://schemas.microsoft.com/office/drawing/2014/main" id="{00000000-0008-0000-0900-0000317C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0"/>
          <a:ext cx="14382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wallich365.sharepoint.com/Documents%20and%20Settings/wellingtonm/Local%20Settings/Temporary%20Internet%20Files/OLK1/Copy%20of%20NMSD%20-%20FAMILIES%20-%20Prototype%20Family%20Savings%20Calculator%20-%202011-06-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y Cost"/>
      <sheetName val="Start"/>
      <sheetName val="Costs_master"/>
      <sheetName val="Fam_Data"/>
      <sheetName val="Fam Chart"/>
      <sheetName val="Case_Data"/>
      <sheetName val="Caseload Chart"/>
      <sheetName val="Outcomes"/>
      <sheetName val="Risk"/>
    </sheetNames>
    <sheetDataSet>
      <sheetData sheetId="0"/>
      <sheetData sheetId="1"/>
      <sheetData sheetId="2"/>
      <sheetData sheetId="3">
        <row r="1">
          <cell r="F1" t="str">
            <v>Chart Data</v>
          </cell>
        </row>
        <row r="2">
          <cell r="F2" t="e">
            <v>#VALUE!</v>
          </cell>
          <cell r="G2" t="e">
            <v>#VALUE!</v>
          </cell>
        </row>
        <row r="3">
          <cell r="F3" t="e">
            <v>#VALUE!</v>
          </cell>
        </row>
        <row r="4">
          <cell r="F4" t="e">
            <v>#VALUE!</v>
          </cell>
        </row>
        <row r="5">
          <cell r="F5" t="e">
            <v>#VALUE!</v>
          </cell>
        </row>
        <row r="6">
          <cell r="F6" t="e">
            <v>#VALUE!</v>
          </cell>
        </row>
        <row r="7">
          <cell r="F7" t="e">
            <v>#VALUE!</v>
          </cell>
        </row>
        <row r="8">
          <cell r="F8" t="e">
            <v>#VALUE!</v>
          </cell>
        </row>
        <row r="9">
          <cell r="F9" t="e">
            <v>#VALUE!</v>
          </cell>
        </row>
        <row r="10">
          <cell r="F10" t="e">
            <v>#VALUE!</v>
          </cell>
        </row>
        <row r="11">
          <cell r="F11" t="e">
            <v>#VALUE!</v>
          </cell>
        </row>
        <row r="12">
          <cell r="F12" t="e">
            <v>#VALUE!</v>
          </cell>
        </row>
        <row r="13">
          <cell r="F13" t="e">
            <v>#VALUE!</v>
          </cell>
        </row>
        <row r="14">
          <cell r="F14" t="e">
            <v>#VALUE!</v>
          </cell>
        </row>
        <row r="15">
          <cell r="F15" t="e">
            <v>#VALUE!</v>
          </cell>
        </row>
        <row r="16">
          <cell r="F16" t="e">
            <v>#VALUE!</v>
          </cell>
        </row>
        <row r="17">
          <cell r="F17" t="e">
            <v>#VALUE!</v>
          </cell>
        </row>
        <row r="18">
          <cell r="F18" t="e">
            <v>#VALUE!</v>
          </cell>
        </row>
        <row r="19">
          <cell r="F19" t="e">
            <v>#VALUE!</v>
          </cell>
        </row>
        <row r="20">
          <cell r="F20" t="e">
            <v>#VALUE!</v>
          </cell>
        </row>
        <row r="21">
          <cell r="F21" t="e">
            <v>#VALUE!</v>
          </cell>
        </row>
        <row r="22">
          <cell r="F22" t="e">
            <v>#VALUE!</v>
          </cell>
        </row>
        <row r="23">
          <cell r="F23" t="e">
            <v>#VALUE!</v>
          </cell>
        </row>
        <row r="24">
          <cell r="F24" t="e">
            <v>#VALUE!</v>
          </cell>
        </row>
        <row r="25">
          <cell r="F25" t="e">
            <v>#VALUE!</v>
          </cell>
        </row>
        <row r="26">
          <cell r="F26" t="e">
            <v>#VALUE!</v>
          </cell>
        </row>
        <row r="27">
          <cell r="F27" t="e">
            <v>#VALUE!</v>
          </cell>
        </row>
        <row r="28">
          <cell r="F28" t="e">
            <v>#VALUE!</v>
          </cell>
        </row>
        <row r="29">
          <cell r="F29" t="e">
            <v>#VALUE!</v>
          </cell>
        </row>
        <row r="30">
          <cell r="F30" t="e">
            <v>#VALUE!</v>
          </cell>
        </row>
        <row r="31">
          <cell r="F31" t="e">
            <v>#VALUE!</v>
          </cell>
        </row>
        <row r="32">
          <cell r="F32" t="e">
            <v>#VALUE!</v>
          </cell>
        </row>
        <row r="33">
          <cell r="F33" t="e">
            <v>#VALUE!</v>
          </cell>
        </row>
        <row r="34">
          <cell r="F34" t="e">
            <v>#VALUE!</v>
          </cell>
        </row>
        <row r="35">
          <cell r="F35" t="e">
            <v>#VALUE!</v>
          </cell>
        </row>
        <row r="36">
          <cell r="F36" t="e">
            <v>#VALUE!</v>
          </cell>
        </row>
        <row r="37">
          <cell r="F37" t="e">
            <v>#VALUE!</v>
          </cell>
        </row>
        <row r="38">
          <cell r="F38" t="e">
            <v>#VALUE!</v>
          </cell>
        </row>
        <row r="39">
          <cell r="F39" t="e">
            <v>#VALUE!</v>
          </cell>
        </row>
        <row r="40">
          <cell r="F40" t="e">
            <v>#VALUE!</v>
          </cell>
        </row>
        <row r="41">
          <cell r="F41" t="e">
            <v>#VALUE!</v>
          </cell>
        </row>
        <row r="42">
          <cell r="F42" t="e">
            <v>#VALUE!</v>
          </cell>
        </row>
        <row r="43">
          <cell r="F43" t="e">
            <v>#VALUE!</v>
          </cell>
        </row>
        <row r="44">
          <cell r="F44" t="e">
            <v>#VALUE!</v>
          </cell>
        </row>
        <row r="45">
          <cell r="F45" t="e">
            <v>#VALUE!</v>
          </cell>
        </row>
        <row r="46">
          <cell r="F46" t="e">
            <v>#VALUE!</v>
          </cell>
        </row>
        <row r="47">
          <cell r="F47" t="e">
            <v>#VALUE!</v>
          </cell>
        </row>
        <row r="48">
          <cell r="F48" t="e">
            <v>#VALUE!</v>
          </cell>
        </row>
        <row r="49">
          <cell r="F49" t="e">
            <v>#VALUE!</v>
          </cell>
        </row>
        <row r="50">
          <cell r="F50" t="e">
            <v>#VALUE!</v>
          </cell>
        </row>
        <row r="51">
          <cell r="F51" t="e">
            <v>#VALUE!</v>
          </cell>
        </row>
        <row r="52">
          <cell r="F52" t="e">
            <v>#VALUE!</v>
          </cell>
        </row>
        <row r="53">
          <cell r="F53" t="e">
            <v>#VALUE!</v>
          </cell>
        </row>
        <row r="54">
          <cell r="F54" t="e">
            <v>#VALUE!</v>
          </cell>
        </row>
        <row r="55">
          <cell r="F55" t="e">
            <v>#VALUE!</v>
          </cell>
        </row>
        <row r="56">
          <cell r="F56" t="e">
            <v>#VALUE!</v>
          </cell>
        </row>
        <row r="57">
          <cell r="F57" t="e">
            <v>#VALUE!</v>
          </cell>
        </row>
        <row r="58">
          <cell r="F58" t="e">
            <v>#VALUE!</v>
          </cell>
        </row>
        <row r="59">
          <cell r="F59" t="e">
            <v>#VALUE!</v>
          </cell>
        </row>
        <row r="60">
          <cell r="F60" t="e">
            <v>#VALUE!</v>
          </cell>
        </row>
        <row r="61">
          <cell r="F61" t="e">
            <v>#VALUE!</v>
          </cell>
        </row>
        <row r="62">
          <cell r="F62" t="e">
            <v>#VALUE!</v>
          </cell>
        </row>
        <row r="63">
          <cell r="F63" t="e">
            <v>#VALUE!</v>
          </cell>
        </row>
        <row r="64">
          <cell r="F64" t="e">
            <v>#VALUE!</v>
          </cell>
        </row>
        <row r="65">
          <cell r="F65" t="e">
            <v>#VALUE!</v>
          </cell>
        </row>
        <row r="66">
          <cell r="F66" t="e">
            <v>#VALUE!</v>
          </cell>
        </row>
        <row r="67">
          <cell r="F67" t="e">
            <v>#VALUE!</v>
          </cell>
        </row>
        <row r="68">
          <cell r="F68" t="e">
            <v>#VALUE!</v>
          </cell>
        </row>
        <row r="69">
          <cell r="F69" t="e">
            <v>#VALUE!</v>
          </cell>
        </row>
        <row r="70">
          <cell r="F70" t="e">
            <v>#VALUE!</v>
          </cell>
        </row>
        <row r="71">
          <cell r="F71" t="e">
            <v>#VALUE!</v>
          </cell>
        </row>
        <row r="72">
          <cell r="F72" t="e">
            <v>#VALUE!</v>
          </cell>
        </row>
        <row r="73">
          <cell r="F73" t="e">
            <v>#VALUE!</v>
          </cell>
        </row>
        <row r="74">
          <cell r="F74" t="e">
            <v>#VALUE!</v>
          </cell>
        </row>
        <row r="75">
          <cell r="F75" t="e">
            <v>#VALUE!</v>
          </cell>
        </row>
        <row r="76">
          <cell r="F76" t="e">
            <v>#VALUE!</v>
          </cell>
        </row>
        <row r="77">
          <cell r="F77" t="e">
            <v>#VALUE!</v>
          </cell>
        </row>
        <row r="78">
          <cell r="F78" t="e">
            <v>#VALUE!</v>
          </cell>
        </row>
        <row r="79">
          <cell r="F79" t="e">
            <v>#VALUE!</v>
          </cell>
        </row>
        <row r="80">
          <cell r="F80" t="e">
            <v>#VALUE!</v>
          </cell>
        </row>
        <row r="81">
          <cell r="F81" t="e">
            <v>#VALUE!</v>
          </cell>
        </row>
        <row r="82">
          <cell r="F82" t="e">
            <v>#VALUE!</v>
          </cell>
        </row>
        <row r="83">
          <cell r="F83" t="e">
            <v>#VALUE!</v>
          </cell>
        </row>
        <row r="84">
          <cell r="F84" t="e">
            <v>#VALUE!</v>
          </cell>
        </row>
        <row r="85">
          <cell r="F85" t="e">
            <v>#VALUE!</v>
          </cell>
        </row>
        <row r="86">
          <cell r="F86" t="e">
            <v>#VALUE!</v>
          </cell>
        </row>
        <row r="87">
          <cell r="F87" t="e">
            <v>#VALUE!</v>
          </cell>
        </row>
        <row r="88">
          <cell r="F88" t="e">
            <v>#VALUE!</v>
          </cell>
        </row>
        <row r="89">
          <cell r="F89" t="e">
            <v>#VALUE!</v>
          </cell>
        </row>
        <row r="90">
          <cell r="F90" t="e">
            <v>#VALUE!</v>
          </cell>
        </row>
        <row r="91">
          <cell r="F91" t="e">
            <v>#VALUE!</v>
          </cell>
        </row>
        <row r="92">
          <cell r="F92" t="e">
            <v>#VALUE!</v>
          </cell>
        </row>
        <row r="93">
          <cell r="F93" t="e">
            <v>#VALUE!</v>
          </cell>
        </row>
        <row r="94">
          <cell r="F94" t="e">
            <v>#VALUE!</v>
          </cell>
        </row>
        <row r="95">
          <cell r="F95" t="e">
            <v>#VALUE!</v>
          </cell>
        </row>
        <row r="96">
          <cell r="F96" t="e">
            <v>#VALUE!</v>
          </cell>
        </row>
        <row r="97">
          <cell r="F97" t="e">
            <v>#VALUE!</v>
          </cell>
        </row>
        <row r="98">
          <cell r="F98" t="e">
            <v>#VALUE!</v>
          </cell>
        </row>
        <row r="99">
          <cell r="F99" t="e">
            <v>#VALUE!</v>
          </cell>
        </row>
        <row r="100">
          <cell r="F100" t="e">
            <v>#VALUE!</v>
          </cell>
        </row>
        <row r="101">
          <cell r="F101" t="e">
            <v>#VALUE!</v>
          </cell>
        </row>
        <row r="102">
          <cell r="F102" t="e">
            <v>#VALUE!</v>
          </cell>
        </row>
        <row r="103">
          <cell r="F103" t="e">
            <v>#VALUE!</v>
          </cell>
        </row>
        <row r="104">
          <cell r="F104" t="e">
            <v>#VALUE!</v>
          </cell>
        </row>
        <row r="105">
          <cell r="F105" t="e">
            <v>#VALUE!</v>
          </cell>
        </row>
        <row r="106">
          <cell r="F106" t="e">
            <v>#VALUE!</v>
          </cell>
        </row>
        <row r="107">
          <cell r="F107" t="e">
            <v>#VALUE!</v>
          </cell>
        </row>
        <row r="108">
          <cell r="F108" t="e">
            <v>#VALUE!</v>
          </cell>
        </row>
        <row r="109">
          <cell r="F109" t="e">
            <v>#VALUE!</v>
          </cell>
        </row>
        <row r="110">
          <cell r="F110" t="e">
            <v>#VALUE!</v>
          </cell>
        </row>
        <row r="111">
          <cell r="F111" t="e">
            <v>#VALUE!</v>
          </cell>
        </row>
        <row r="112">
          <cell r="F112" t="e">
            <v>#VALUE!</v>
          </cell>
        </row>
        <row r="113">
          <cell r="F113" t="e">
            <v>#VALUE!</v>
          </cell>
        </row>
        <row r="114">
          <cell r="F114" t="e">
            <v>#VALUE!</v>
          </cell>
        </row>
        <row r="115">
          <cell r="F115" t="e">
            <v>#VALUE!</v>
          </cell>
        </row>
        <row r="116">
          <cell r="F116" t="e">
            <v>#VALUE!</v>
          </cell>
        </row>
        <row r="117">
          <cell r="F117" t="e">
            <v>#VALUE!</v>
          </cell>
        </row>
        <row r="118">
          <cell r="F118" t="e">
            <v>#VALUE!</v>
          </cell>
        </row>
        <row r="119">
          <cell r="F119" t="e">
            <v>#VALUE!</v>
          </cell>
        </row>
        <row r="120">
          <cell r="F120" t="e">
            <v>#VALUE!</v>
          </cell>
        </row>
        <row r="121">
          <cell r="F121" t="e">
            <v>#VALUE!</v>
          </cell>
        </row>
        <row r="122">
          <cell r="F122" t="e">
            <v>#VALUE!</v>
          </cell>
        </row>
        <row r="123">
          <cell r="F123" t="e">
            <v>#VALUE!</v>
          </cell>
        </row>
        <row r="124">
          <cell r="F124" t="e">
            <v>#VALUE!</v>
          </cell>
        </row>
        <row r="125">
          <cell r="F125" t="e">
            <v>#VALUE!</v>
          </cell>
        </row>
        <row r="126">
          <cell r="F126" t="e">
            <v>#VALUE!</v>
          </cell>
        </row>
        <row r="127">
          <cell r="F127" t="e">
            <v>#VALUE!</v>
          </cell>
        </row>
        <row r="128">
          <cell r="F128" t="e">
            <v>#VALUE!</v>
          </cell>
        </row>
        <row r="129">
          <cell r="F129" t="e">
            <v>#VALUE!</v>
          </cell>
        </row>
        <row r="130">
          <cell r="F130" t="e">
            <v>#VALUE!</v>
          </cell>
        </row>
        <row r="131">
          <cell r="F131" t="e">
            <v>#VALUE!</v>
          </cell>
        </row>
        <row r="132">
          <cell r="F132" t="e">
            <v>#VALUE!</v>
          </cell>
        </row>
        <row r="133">
          <cell r="F133" t="e">
            <v>#VALUE!</v>
          </cell>
        </row>
        <row r="134">
          <cell r="F134" t="e">
            <v>#VALUE!</v>
          </cell>
        </row>
        <row r="135">
          <cell r="F135" t="e">
            <v>#VALUE!</v>
          </cell>
        </row>
        <row r="136">
          <cell r="F136" t="e">
            <v>#VALUE!</v>
          </cell>
        </row>
        <row r="137">
          <cell r="F137" t="e">
            <v>#VALUE!</v>
          </cell>
        </row>
        <row r="138">
          <cell r="F138" t="e">
            <v>#VALUE!</v>
          </cell>
        </row>
        <row r="139">
          <cell r="F139" t="e">
            <v>#VALUE!</v>
          </cell>
        </row>
        <row r="140">
          <cell r="F140" t="e">
            <v>#VALUE!</v>
          </cell>
        </row>
        <row r="141">
          <cell r="F141" t="e">
            <v>#VALUE!</v>
          </cell>
        </row>
        <row r="142">
          <cell r="F142" t="e">
            <v>#VALUE!</v>
          </cell>
        </row>
        <row r="143">
          <cell r="F143" t="e">
            <v>#VALUE!</v>
          </cell>
        </row>
        <row r="144">
          <cell r="F144" t="e">
            <v>#VALUE!</v>
          </cell>
        </row>
        <row r="145">
          <cell r="F145" t="e">
            <v>#VALUE!</v>
          </cell>
        </row>
        <row r="146">
          <cell r="F146" t="e">
            <v>#VALUE!</v>
          </cell>
        </row>
        <row r="147">
          <cell r="F147" t="e">
            <v>#VALUE!</v>
          </cell>
        </row>
        <row r="148">
          <cell r="F148" t="e">
            <v>#VALUE!</v>
          </cell>
        </row>
        <row r="149">
          <cell r="F149" t="e">
            <v>#VALUE!</v>
          </cell>
        </row>
        <row r="150">
          <cell r="F150" t="e">
            <v>#VALUE!</v>
          </cell>
        </row>
        <row r="151">
          <cell r="F151" t="e">
            <v>#VALUE!</v>
          </cell>
        </row>
        <row r="152">
          <cell r="F152" t="e">
            <v>#VALUE!</v>
          </cell>
        </row>
        <row r="153">
          <cell r="F153" t="e">
            <v>#VALUE!</v>
          </cell>
        </row>
        <row r="154">
          <cell r="F154" t="e">
            <v>#VALUE!</v>
          </cell>
        </row>
        <row r="155">
          <cell r="F155" t="e">
            <v>#VALUE!</v>
          </cell>
        </row>
        <row r="156">
          <cell r="F156" t="e">
            <v>#VALUE!</v>
          </cell>
        </row>
        <row r="157">
          <cell r="F157" t="e">
            <v>#VALUE!</v>
          </cell>
        </row>
        <row r="158">
          <cell r="F158" t="e">
            <v>#VALUE!</v>
          </cell>
        </row>
        <row r="159">
          <cell r="F159" t="e">
            <v>#VALUE!</v>
          </cell>
        </row>
        <row r="160">
          <cell r="F160" t="e">
            <v>#VALUE!</v>
          </cell>
        </row>
        <row r="161">
          <cell r="F161" t="e">
            <v>#VALUE!</v>
          </cell>
        </row>
        <row r="162">
          <cell r="F162" t="e">
            <v>#VALUE!</v>
          </cell>
        </row>
        <row r="163">
          <cell r="F163" t="e">
            <v>#VALUE!</v>
          </cell>
        </row>
        <row r="164">
          <cell r="F164" t="e">
            <v>#VALUE!</v>
          </cell>
        </row>
        <row r="165">
          <cell r="F165" t="e">
            <v>#VALUE!</v>
          </cell>
        </row>
        <row r="166">
          <cell r="F166" t="e">
            <v>#VALUE!</v>
          </cell>
        </row>
        <row r="167">
          <cell r="F167" t="e">
            <v>#VALUE!</v>
          </cell>
        </row>
        <row r="168">
          <cell r="F168" t="e">
            <v>#VALUE!</v>
          </cell>
        </row>
        <row r="169">
          <cell r="F169" t="e">
            <v>#VALUE!</v>
          </cell>
        </row>
        <row r="170">
          <cell r="F170" t="e">
            <v>#VALUE!</v>
          </cell>
        </row>
        <row r="171">
          <cell r="F171" t="e">
            <v>#VALUE!</v>
          </cell>
        </row>
        <row r="172">
          <cell r="F172" t="e">
            <v>#VALUE!</v>
          </cell>
        </row>
        <row r="173">
          <cell r="F173" t="e">
            <v>#VALUE!</v>
          </cell>
        </row>
        <row r="174">
          <cell r="F174" t="e">
            <v>#VALUE!</v>
          </cell>
        </row>
        <row r="175">
          <cell r="F175" t="e">
            <v>#VALUE!</v>
          </cell>
        </row>
        <row r="176">
          <cell r="F176" t="e">
            <v>#VALUE!</v>
          </cell>
        </row>
        <row r="177">
          <cell r="F177" t="e">
            <v>#VALUE!</v>
          </cell>
        </row>
        <row r="178">
          <cell r="F178" t="e">
            <v>#VALUE!</v>
          </cell>
        </row>
        <row r="179">
          <cell r="F179" t="e">
            <v>#VALUE!</v>
          </cell>
        </row>
        <row r="180">
          <cell r="F180" t="e">
            <v>#VALUE!</v>
          </cell>
        </row>
        <row r="181">
          <cell r="F181" t="e">
            <v>#VALUE!</v>
          </cell>
        </row>
        <row r="182">
          <cell r="F182" t="e">
            <v>#VALUE!</v>
          </cell>
        </row>
        <row r="183">
          <cell r="F183" t="e">
            <v>#VALUE!</v>
          </cell>
        </row>
        <row r="184">
          <cell r="F184" t="e">
            <v>#VALUE!</v>
          </cell>
        </row>
        <row r="185">
          <cell r="F185" t="e">
            <v>#VALUE!</v>
          </cell>
        </row>
        <row r="186">
          <cell r="F186" t="e">
            <v>#VALUE!</v>
          </cell>
        </row>
        <row r="187">
          <cell r="F187" t="e">
            <v>#VALUE!</v>
          </cell>
        </row>
        <row r="188">
          <cell r="F188" t="e">
            <v>#VALUE!</v>
          </cell>
        </row>
        <row r="189">
          <cell r="F189" t="e">
            <v>#VALUE!</v>
          </cell>
        </row>
        <row r="190">
          <cell r="F190" t="e">
            <v>#VALUE!</v>
          </cell>
        </row>
        <row r="191">
          <cell r="F191" t="e">
            <v>#VALUE!</v>
          </cell>
        </row>
        <row r="192">
          <cell r="F192" t="e">
            <v>#VALUE!</v>
          </cell>
        </row>
        <row r="193">
          <cell r="F193" t="e">
            <v>#VALUE!</v>
          </cell>
        </row>
        <row r="194">
          <cell r="F194" t="e">
            <v>#VALUE!</v>
          </cell>
        </row>
        <row r="195">
          <cell r="F195" t="e">
            <v>#VALUE!</v>
          </cell>
        </row>
        <row r="196">
          <cell r="F196" t="e">
            <v>#VALUE!</v>
          </cell>
        </row>
      </sheetData>
      <sheetData sheetId="4"/>
      <sheetData sheetId="5">
        <row r="1">
          <cell r="A1" t="str">
            <v>Family</v>
          </cell>
        </row>
        <row r="2">
          <cell r="A2" t="str">
            <v xml:space="preserve"> </v>
          </cell>
          <cell r="B2">
            <v>0</v>
          </cell>
        </row>
      </sheetData>
      <sheetData sheetId="6"/>
      <sheetData sheetId="7"/>
      <sheetData sheetId="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CTADMIN" refreshedDate="41372.588145254631" createdVersion="1" refreshedVersion="2" recordCount="12" upgradeOnRefresh="1">
  <cacheSource type="worksheet">
    <worksheetSource name="famchart1_pivot"/>
  </cacheSource>
  <cacheFields count="2">
    <cacheField name="Chart Data" numFmtId="0">
      <sharedItems containsSemiMixedTypes="0" containsString="0" containsNumber="1" minValue="80" maxValue="8472" count="12">
        <n v="80"/>
        <n v="99"/>
        <n v="224"/>
        <n v="272.37"/>
        <n v="273"/>
        <n v="416"/>
        <n v="507"/>
        <n v="572"/>
        <n v="624"/>
        <n v="1235"/>
        <n v="1543"/>
        <n v="8472"/>
      </sharedItems>
    </cacheField>
    <cacheField name="Category" numFmtId="0">
      <sharedItems count="119">
        <s v="Alcohol Health Worker - Clinic Consultant"/>
        <s v="Police call out"/>
        <s v="Visit to a GP surgery"/>
        <s v="Emergency ambulance"/>
        <s v="GP Prescription"/>
        <s v="Other social adviser"/>
        <s v="Social worker"/>
        <s v="Counsellor"/>
        <s v="Specialist"/>
        <s v="Inpatient"/>
        <s v="Specialist midwife"/>
        <s v="Child Protection Plan"/>
        <s v="a" u="1"/>
        <s v="A &amp; E" u="1"/>
        <s v="A &amp; E visit " u="1"/>
        <s v="Abandoned vehicle" u="1"/>
        <s v="ABC" u="1"/>
        <s v="Alcohol Health Worker" u="1"/>
        <s v="Alternative medical practitioner" u="1"/>
        <s v="Arrest" u="1"/>
        <s v="ASB Warning letter" u="1"/>
        <s v="ASBOs" u="1"/>
        <s v="b" u="1"/>
        <s v="Benefits adviser" u="1"/>
        <s v="c" u="1"/>
        <s v="CAHMS - per hour related activity" u="1"/>
        <s v="CAHMS - per team" u="1"/>
        <s v="CAHMS - per team member" u="1"/>
        <s v="CAHMS - team member face-to-face contact" u="1"/>
        <s v="Child being taken into care" u="1"/>
        <s v="Clinic" u="1"/>
        <s v="CPN Home" u="1"/>
        <s v="Crown court" u="1"/>
        <s v="d" u="1"/>
        <s v="Day care" u="1"/>
        <s v="Day care for adults with mental health problems" u="1"/>
        <s v="Demolition of property " u="1"/>
        <s v="Domestic Violence" u="1"/>
        <s v="e" u="1"/>
        <s v="Education Welfare Officer" u="1"/>
        <s v="Eviction for anti-social behaviour" u="1"/>
        <s v="Exclusion from school" u="1"/>
        <s v="f" u="1"/>
        <s v="g" u="1"/>
        <s v="GP" u="1"/>
        <s v="GP Home" u="1"/>
        <s v="GP Home Visit" u="1"/>
        <s v="Graffiti" u="1"/>
        <s v="Graffiti (high)" u="1"/>
        <s v="Graffiti (low)" u="1"/>
        <s v="h" u="1"/>
        <s v="Hoax fire call" u="1"/>
        <s v="Housing Benefit adviser" u="1"/>
        <s v="i" u="1"/>
        <s v="Inpatient Detoxification" u="1"/>
        <s v="Inpatient treatment for drugs/alcohol misuse" u="1"/>
        <s v="Intensive Supervision and Surveillance Programme" u="1"/>
        <s v="j" u="1"/>
        <s v="LA Foster Care" u="1"/>
        <s v="LA house vandalism" u="1"/>
        <s v="LA Residential Care" u="1"/>
        <s v="line1" u="1"/>
        <s v="line10" u="1"/>
        <s v="line2" u="1"/>
        <s v="line3" u="1"/>
        <s v="line4" u="1"/>
        <s v="line5" u="1"/>
        <s v="line6" u="1"/>
        <s v="line7" u="1"/>
        <s v="line8" u="1"/>
        <s v="line9" u="1"/>
        <s v="Lost days of work" u="1"/>
        <s v="Magistrates’ court" u="1"/>
        <s v="Methadone maintenance" u="1"/>
        <s v="Methadone treatment" u="1"/>
        <s v="Neighbourhood disputes – costs including staff time" u="1"/>
        <s v="Neighbourhood disputes – injunction" u="1"/>
        <s v="Neighbourhood disputes – possession order" u="1"/>
        <s v="NHS Direct" u="1"/>
        <s v="NHS inpatient treatment" u="1"/>
        <s v="Noise – Housing department informal intervention" u="1"/>
        <s v="Noise – inc staff time and prosecution" u="1"/>
        <s v="Noise – legal action" u="1"/>
        <s v="Noise – transfer of tenancy" u="1"/>
        <s v="NOSP" u="1"/>
        <s v="Nuisance behaviour – eviction" u="1"/>
        <s v="Nuisance behaviour – legal action to la" u="1"/>
        <s v="Nuisance behaviour – possession action" u="1"/>
        <s v="Occupational Therapist" u="1"/>
        <s v="Outpatient" u="1"/>
        <s v="Parenting Order" u="1"/>
        <s v="Pareting prog - Group in-clinic" u="1"/>
        <s v="Pareting prog - Group in-community" u="1"/>
        <s v="Pareting prog - Individual in-clinic" u="1"/>
        <s v="Pareting prog - Individual in-home" u="1"/>
        <s v="Persistent Absentee" u="1"/>
        <s v="PN" u="1"/>
        <s v="PN Home" u="1"/>
        <s v="Police reprimand" u="1"/>
        <s v="Prescription" u="1"/>
        <s v="Prison day" u="1"/>
        <s v="Psychiatrist" u="1"/>
        <s v="Psychologist" u="1"/>
        <s v="Pupil Referral Unit" u="1"/>
        <s v="Referral Order" u="1"/>
        <s v="Rent arrears" u="1"/>
        <s v="Reparation Order" u="1"/>
        <s v="Replacing bus shelter" u="1"/>
        <s v="Specialist/OP" u="1"/>
        <s v="Street agency visit" u="1"/>
        <s v="Supervision Order" u="1"/>
        <s v="Test" u="1"/>
        <s v="Truancy" u="1"/>
        <s v="Vehicle theft" u="1"/>
        <s v="Voluntary sector residential rehabilitation" u="1"/>
        <s v="Weekly earnings gap exp for 21 months for 16/17 yr old" u="1"/>
        <s v="Weekly earnings gap exp for 9 months for 18 yr old men" u="1"/>
        <s v="Weekly earnings gap exp for 9 months for 18 yr old women" u="1"/>
        <s v="Youth orde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wellingtonm" refreshedDate="40819.640772800929" createdVersion="1" refreshedVersion="2" recordCount="2" upgradeOnRefresh="1">
  <cacheSource type="worksheet">
    <worksheetSource name="casechart1_pivot"/>
  </cacheSource>
  <cacheFields count="3">
    <cacheField name="Family" numFmtId="0">
      <sharedItems count="8">
        <s v="Sarah Jones"/>
        <s v="John Smith"/>
        <s v=" " u="1"/>
        <s v="test" u="1"/>
        <s v="Sarah Matthews" u="1"/>
        <s v="John Jones" u="1"/>
        <s v="Jon Jones/Helen Jones" u="1"/>
        <s v="a" u="1"/>
      </sharedItems>
    </cacheField>
    <cacheField name="Predicted Savings" numFmtId="0">
      <sharedItems containsSemiMixedTypes="0" containsString="0" containsNumber="1" minValue="83012.460000000006" maxValue="330747" count="2">
        <n v="83012.460000000006"/>
        <n v="330747"/>
      </sharedItems>
    </cacheField>
    <cacheField name="Members" numFmtId="0">
      <sharedItems containsSemiMixedTypes="0" containsString="0" containsNumber="1" containsInteger="1" minValue="2" maxValue="3" count="2">
        <n v="2"/>
        <n v="3"/>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
  <r>
    <x v="0"/>
    <x v="0"/>
  </r>
  <r>
    <x v="1"/>
    <x v="1"/>
  </r>
  <r>
    <x v="2"/>
    <x v="2"/>
  </r>
  <r>
    <x v="3"/>
    <x v="3"/>
  </r>
  <r>
    <x v="4"/>
    <x v="4"/>
  </r>
  <r>
    <x v="5"/>
    <x v="5"/>
  </r>
  <r>
    <x v="6"/>
    <x v="6"/>
  </r>
  <r>
    <x v="7"/>
    <x v="7"/>
  </r>
  <r>
    <x v="8"/>
    <x v="8"/>
  </r>
  <r>
    <x v="9"/>
    <x v="9"/>
  </r>
  <r>
    <x v="10"/>
    <x v="10"/>
  </r>
  <r>
    <x v="11"/>
    <x v="11"/>
  </r>
</pivotCacheRecords>
</file>

<file path=xl/pivotCache/pivotCacheRecords2.xml><?xml version="1.0" encoding="utf-8"?>
<pivotCacheRecords xmlns="http://schemas.openxmlformats.org/spreadsheetml/2006/main" xmlns:r="http://schemas.openxmlformats.org/officeDocument/2006/relationships" count="2">
  <r>
    <x v="0"/>
    <x v="0"/>
    <x v="0"/>
  </r>
  <r>
    <x v="1"/>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Data" updatedVersion="2" showMemberPropertyTips="0" useAutoFormatting="1" itemPrintTitles="1" createdVersion="1" indent="0" compact="0" compactData="0" gridDropZones="1">
  <location ref="J1:K13" firstHeaderRow="2" firstDataRow="2" firstDataCol="1"/>
  <pivotFields count="2">
    <pivotField dataField="1" compact="0" outline="0" subtotalTop="0" showAll="0" includeNewItemsInFilter="1"/>
    <pivotField axis="axisRow" compact="0" outline="0" subtotalTop="0" showAll="0" autoShow="1" includeNewItemsInFilter="1" sortType="descending" rankBy="0">
      <items count="120">
        <item m="1" x="13"/>
        <item m="1" x="36"/>
        <item m="1" x="75"/>
        <item m="1" x="90"/>
        <item m="1" x="113"/>
        <item m="1" x="117"/>
        <item m="1" x="107"/>
        <item m="1" x="49"/>
        <item m="1" x="104"/>
        <item m="1" x="110"/>
        <item m="1" x="112"/>
        <item m="1" x="21"/>
        <item m="1" x="80"/>
        <item m="1" x="44"/>
        <item m="1" x="17"/>
        <item m="1" x="91"/>
        <item m="1" x="93"/>
        <item m="1" x="37"/>
        <item m="1" x="15"/>
        <item m="1" x="51"/>
        <item m="1" x="59"/>
        <item m="1" x="48"/>
        <item m="1" x="20"/>
        <item m="1" x="16"/>
        <item m="1" x="56"/>
        <item m="1" x="106"/>
        <item m="1" x="19"/>
        <item m="1" x="72"/>
        <item m="1" x="32"/>
        <item m="1" x="100"/>
        <item m="1" x="115"/>
        <item m="1" x="116"/>
        <item m="1" x="41"/>
        <item m="1" x="81"/>
        <item m="1" x="83"/>
        <item m="1" x="82"/>
        <item m="1" x="86"/>
        <item m="1" x="87"/>
        <item m="1" x="85"/>
        <item m="1" x="77"/>
        <item m="1" x="40"/>
        <item m="1" x="76"/>
        <item m="1" x="84"/>
        <item m="1" x="14"/>
        <item x="3"/>
        <item x="9"/>
        <item m="1" x="89"/>
        <item m="1" x="34"/>
        <item m="1" x="96"/>
        <item m="1" x="45"/>
        <item m="1" x="97"/>
        <item m="1" x="31"/>
        <item m="1" x="78"/>
        <item m="1" x="99"/>
        <item m="1" x="18"/>
        <item m="1" x="108"/>
        <item m="1" x="27"/>
        <item m="1" x="25"/>
        <item m="1" x="28"/>
        <item m="1" x="26"/>
        <item m="1" x="114"/>
        <item m="1" x="79"/>
        <item x="7"/>
        <item m="1" x="73"/>
        <item m="1" x="88"/>
        <item x="6"/>
        <item m="1" x="23"/>
        <item m="1" x="52"/>
        <item x="5"/>
        <item m="1" x="101"/>
        <item m="1" x="102"/>
        <item m="1" x="29"/>
        <item m="1" x="92"/>
        <item m="1" x="94"/>
        <item m="1" x="98"/>
        <item m="1" x="118"/>
        <item m="1" x="109"/>
        <item m="1" x="61"/>
        <item m="1" x="63"/>
        <item m="1" x="64"/>
        <item m="1" x="65"/>
        <item m="1" x="66"/>
        <item m="1" x="67"/>
        <item m="1" x="68"/>
        <item m="1" x="69"/>
        <item m="1" x="70"/>
        <item m="1" x="62"/>
        <item m="1" x="71"/>
        <item x="11"/>
        <item m="1" x="12"/>
        <item m="1" x="22"/>
        <item m="1" x="24"/>
        <item m="1" x="33"/>
        <item m="1" x="38"/>
        <item m="1" x="42"/>
        <item m="1" x="43"/>
        <item m="1" x="50"/>
        <item m="1" x="53"/>
        <item m="1" x="57"/>
        <item m="1" x="60"/>
        <item m="1" x="58"/>
        <item m="1" x="74"/>
        <item m="1" x="105"/>
        <item m="1" x="103"/>
        <item m="1" x="35"/>
        <item m="1" x="47"/>
        <item x="0"/>
        <item m="1" x="39"/>
        <item x="4"/>
        <item x="2"/>
        <item x="1"/>
        <item m="1" x="55"/>
        <item m="1" x="54"/>
        <item x="10"/>
        <item m="1" x="95"/>
        <item m="1" x="111"/>
        <item m="1" x="30"/>
        <item m="1" x="46"/>
        <item x="8"/>
        <item t="default"/>
      </items>
      <autoSortScope>
        <pivotArea dataOnly="0" outline="0" fieldPosition="0">
          <references count="1">
            <reference field="4294967294" count="1" selected="0">
              <x v="0"/>
            </reference>
          </references>
        </pivotArea>
      </autoSortScope>
    </pivotField>
  </pivotFields>
  <rowFields count="1">
    <field x="1"/>
  </rowFields>
  <rowItems count="11">
    <i>
      <x v="88"/>
    </i>
    <i>
      <x v="113"/>
    </i>
    <i>
      <x v="45"/>
    </i>
    <i>
      <x v="118"/>
    </i>
    <i>
      <x v="62"/>
    </i>
    <i>
      <x v="65"/>
    </i>
    <i>
      <x v="68"/>
    </i>
    <i>
      <x v="108"/>
    </i>
    <i>
      <x v="44"/>
    </i>
    <i>
      <x v="109"/>
    </i>
    <i t="grand">
      <x/>
    </i>
  </rowItems>
  <colItems count="1">
    <i/>
  </colItems>
  <dataFields count="1">
    <dataField name="Sum of Chart Data" fld="0" baseField="0" baseItem="0"/>
  </dataFields>
  <chartFormats count="1">
    <chartFormat chart="0" format="2"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4" cacheId="1" dataOnRows="1" applyNumberFormats="0" applyBorderFormats="0" applyFontFormats="0" applyPatternFormats="0" applyAlignmentFormats="0" applyWidthHeightFormats="1" dataCaption="Data" updatedVersion="2" asteriskTotals="1" showMemberPropertyTips="0" useAutoFormatting="1" itemPrintTitles="1" createdVersion="1" indent="0" compact="0" compactData="0" gridDropZones="1">
  <location ref="E1:K14" firstHeaderRow="1" firstDataRow="1" firstDataCol="1"/>
  <pivotFields count="3">
    <pivotField compact="0" outline="0" subtotalTop="0" showAll="0" includeNewItemsInFilter="1">
      <items count="9">
        <item m="1" x="3"/>
        <item m="1" x="7"/>
        <item m="1" x="2"/>
        <item m="1" x="5"/>
        <item m="1" x="6"/>
        <item m="1" x="4"/>
        <item x="0"/>
        <item x="1"/>
        <item t="default"/>
      </items>
    </pivotField>
    <pivotField compact="0" numFmtId="165" outline="0" subtotalTop="0" showAll="0" includeNewItemsInFilter="1"/>
    <pivotField compact="0" outline="0" subtotalTop="0" showAll="0" includeNewItemsInFilter="1"/>
  </pivot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120000" mc:Ignorable="a14" a14:legacySpreadsheetColorIndex="18"/>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120000" mc:Ignorable="a14" a14:legacySpreadsheetColorIndex="18"/>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26" Type="http://schemas.openxmlformats.org/officeDocument/2006/relationships/ctrlProp" Target="../ctrlProps/ctrlProp3.xml"/><Relationship Id="rId3" Type="http://schemas.openxmlformats.org/officeDocument/2006/relationships/vmlDrawing" Target="../drawings/vmlDrawing1.vml"/><Relationship Id="rId21" Type="http://schemas.openxmlformats.org/officeDocument/2006/relationships/image" Target="../media/image9.emf"/><Relationship Id="rId34" Type="http://schemas.openxmlformats.org/officeDocument/2006/relationships/ctrlProp" Target="../ctrlProps/ctrlProp11.xml"/><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ctrlProp" Target="../ctrlProps/ctrlProp2.xml"/><Relationship Id="rId33" Type="http://schemas.openxmlformats.org/officeDocument/2006/relationships/ctrlProp" Target="../ctrlProps/ctrlProp10.xml"/><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ctrlProp" Target="../ctrlProps/ctrlProp6.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trlProp" Target="../ctrlProps/ctrlProp1.xml"/><Relationship Id="rId32" Type="http://schemas.openxmlformats.org/officeDocument/2006/relationships/ctrlProp" Target="../ctrlProps/ctrlProp9.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ctrlProp" Target="../ctrlProps/ctrlProp5.xml"/><Relationship Id="rId10" Type="http://schemas.openxmlformats.org/officeDocument/2006/relationships/control" Target="../activeX/activeX4.xml"/><Relationship Id="rId19" Type="http://schemas.openxmlformats.org/officeDocument/2006/relationships/image" Target="../media/image8.emf"/><Relationship Id="rId31" Type="http://schemas.openxmlformats.org/officeDocument/2006/relationships/ctrlProp" Target="../ctrlProps/ctrlProp8.xml"/><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ctrlProp" Target="../ctrlProps/ctrlProp4.xml"/><Relationship Id="rId30" Type="http://schemas.openxmlformats.org/officeDocument/2006/relationships/ctrlProp" Target="../ctrlProps/ctrlProp7.xml"/><Relationship Id="rId35"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9.vml"/><Relationship Id="rId7" Type="http://schemas.openxmlformats.org/officeDocument/2006/relationships/image" Target="../media/image32.emf"/><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ntrol" Target="../activeX/activeX27.xml"/><Relationship Id="rId5" Type="http://schemas.openxmlformats.org/officeDocument/2006/relationships/image" Target="../media/image31.emf"/><Relationship Id="rId4" Type="http://schemas.openxmlformats.org/officeDocument/2006/relationships/control" Target="../activeX/activeX26.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13.xml"/><Relationship Id="rId3" Type="http://schemas.openxmlformats.org/officeDocument/2006/relationships/vmlDrawing" Target="../drawings/vmlDrawing2.vml"/><Relationship Id="rId7" Type="http://schemas.openxmlformats.org/officeDocument/2006/relationships/image" Target="../media/image14.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12.xml"/><Relationship Id="rId5" Type="http://schemas.openxmlformats.org/officeDocument/2006/relationships/image" Target="../media/image13.emf"/><Relationship Id="rId4" Type="http://schemas.openxmlformats.org/officeDocument/2006/relationships/control" Target="../activeX/activeX11.xml"/><Relationship Id="rId9" Type="http://schemas.openxmlformats.org/officeDocument/2006/relationships/image" Target="../media/image15.emf"/></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image" Target="../media/image17.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15.xml"/><Relationship Id="rId5" Type="http://schemas.openxmlformats.org/officeDocument/2006/relationships/image" Target="../media/image16.emf"/><Relationship Id="rId4" Type="http://schemas.openxmlformats.org/officeDocument/2006/relationships/control" Target="../activeX/activeX1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9.emf"/><Relationship Id="rId4" Type="http://schemas.openxmlformats.org/officeDocument/2006/relationships/control" Target="../activeX/activeX16.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1.xml"/><Relationship Id="rId6" Type="http://schemas.openxmlformats.org/officeDocument/2006/relationships/image" Target="../media/image21.emf"/><Relationship Id="rId5" Type="http://schemas.openxmlformats.org/officeDocument/2006/relationships/oleObject" Target="../embeddings/Microsoft_Word_97_-_2003_Document.doc"/><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19.xml"/><Relationship Id="rId3" Type="http://schemas.openxmlformats.org/officeDocument/2006/relationships/vmlDrawing" Target="../drawings/vmlDrawing6.vml"/><Relationship Id="rId7" Type="http://schemas.openxmlformats.org/officeDocument/2006/relationships/image" Target="../media/image23.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ntrol" Target="../activeX/activeX18.xml"/><Relationship Id="rId5" Type="http://schemas.openxmlformats.org/officeDocument/2006/relationships/image" Target="../media/image22.emf"/><Relationship Id="rId4" Type="http://schemas.openxmlformats.org/officeDocument/2006/relationships/control" Target="../activeX/activeX17.xml"/><Relationship Id="rId9" Type="http://schemas.openxmlformats.org/officeDocument/2006/relationships/image" Target="../media/image24.emf"/></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22.xml"/><Relationship Id="rId3" Type="http://schemas.openxmlformats.org/officeDocument/2006/relationships/vmlDrawing" Target="../drawings/vmlDrawing7.vml"/><Relationship Id="rId7" Type="http://schemas.openxmlformats.org/officeDocument/2006/relationships/image" Target="../media/image26.emf"/><Relationship Id="rId12" Type="http://schemas.openxmlformats.org/officeDocument/2006/relationships/comments" Target="../comments3.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ntrol" Target="../activeX/activeX21.xml"/><Relationship Id="rId11" Type="http://schemas.openxmlformats.org/officeDocument/2006/relationships/image" Target="../media/image28.emf"/><Relationship Id="rId5" Type="http://schemas.openxmlformats.org/officeDocument/2006/relationships/image" Target="../media/image25.emf"/><Relationship Id="rId10" Type="http://schemas.openxmlformats.org/officeDocument/2006/relationships/control" Target="../activeX/activeX23.xml"/><Relationship Id="rId4" Type="http://schemas.openxmlformats.org/officeDocument/2006/relationships/control" Target="../activeX/activeX20.xml"/><Relationship Id="rId9" Type="http://schemas.openxmlformats.org/officeDocument/2006/relationships/image" Target="../media/image27.emf"/></Relationships>
</file>

<file path=xl/worksheets/_rels/sheet9.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vmlDrawing" Target="../drawings/vmlDrawing8.vml"/><Relationship Id="rId7" Type="http://schemas.openxmlformats.org/officeDocument/2006/relationships/image" Target="../media/image30.emf"/><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ntrol" Target="../activeX/activeX25.xml"/><Relationship Id="rId5" Type="http://schemas.openxmlformats.org/officeDocument/2006/relationships/image" Target="../media/image29.emf"/><Relationship Id="rId4" Type="http://schemas.openxmlformats.org/officeDocument/2006/relationships/control" Target="../activeX/activeX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32"/>
  </sheetPr>
  <dimension ref="A1:AB44"/>
  <sheetViews>
    <sheetView zoomScale="85" zoomScaleNormal="90" workbookViewId="0">
      <pane ySplit="4" topLeftCell="A5" activePane="bottomLeft" state="frozen"/>
      <selection activeCell="D5" sqref="D5"/>
      <selection pane="bottomLeft" activeCell="N11" sqref="N11:O11"/>
    </sheetView>
  </sheetViews>
  <sheetFormatPr defaultRowHeight="12.75" x14ac:dyDescent="0.2"/>
  <cols>
    <col min="1" max="2" width="1.7109375" style="1" customWidth="1"/>
    <col min="3" max="3" width="18.140625" style="1" customWidth="1"/>
    <col min="4" max="4" width="2.42578125" style="1" customWidth="1"/>
    <col min="5" max="6" width="8.7109375" style="1" customWidth="1"/>
    <col min="7" max="7" width="7.7109375" style="1" customWidth="1"/>
    <col min="8" max="8" width="10.42578125" style="1" customWidth="1"/>
    <col min="9" max="9" width="1.7109375" style="1" customWidth="1"/>
    <col min="10" max="10" width="2.42578125" style="1" customWidth="1"/>
    <col min="11" max="11" width="8.7109375" style="1" customWidth="1"/>
    <col min="12" max="12" width="14.140625" style="1" customWidth="1"/>
    <col min="13" max="13" width="2.7109375" style="1" customWidth="1"/>
    <col min="14" max="14" width="6.7109375" style="1" customWidth="1"/>
    <col min="15" max="15" width="7.7109375" style="1" customWidth="1"/>
    <col min="16" max="16" width="2.7109375" style="1" customWidth="1"/>
    <col min="17" max="17" width="1.7109375" style="1" customWidth="1"/>
    <col min="18" max="18" width="2.7109375" style="1" customWidth="1"/>
    <col min="19" max="20" width="9.140625" style="1"/>
    <col min="21" max="21" width="7.140625" style="1" customWidth="1"/>
    <col min="22" max="23" width="7.7109375" style="1" customWidth="1"/>
    <col min="24" max="24" width="2.5703125" style="1" customWidth="1"/>
    <col min="25" max="25" width="3.42578125" style="1" customWidth="1"/>
    <col min="26" max="16384" width="9.140625" style="1"/>
  </cols>
  <sheetData>
    <row r="1" spans="1:25" ht="4.5" customHeight="1" x14ac:dyDescent="0.2"/>
    <row r="2" spans="1:25" ht="23.25" x14ac:dyDescent="0.35">
      <c r="A2" s="111"/>
      <c r="B2" s="112"/>
      <c r="C2" s="112"/>
      <c r="D2" s="112"/>
      <c r="E2" s="112"/>
      <c r="F2" s="112"/>
      <c r="G2" s="124" t="s">
        <v>147</v>
      </c>
      <c r="H2" s="112"/>
      <c r="I2" s="112"/>
      <c r="J2" s="112"/>
      <c r="K2" s="112"/>
      <c r="L2" s="112"/>
      <c r="M2" s="112"/>
      <c r="N2" s="126" t="e">
        <f ca="1">CONCATENATE("v",CustProps("Version"))</f>
        <v>#NAME?</v>
      </c>
      <c r="O2" s="112"/>
      <c r="P2" s="112"/>
      <c r="Q2" s="112"/>
      <c r="R2" s="112"/>
      <c r="S2" s="112"/>
      <c r="T2" s="112"/>
      <c r="U2" s="112"/>
      <c r="V2" s="112"/>
      <c r="W2" s="112"/>
      <c r="X2" s="113"/>
      <c r="Y2" s="294" t="s">
        <v>104</v>
      </c>
    </row>
    <row r="3" spans="1:25" ht="15.75" x14ac:dyDescent="0.2">
      <c r="A3" s="114"/>
      <c r="B3" s="115"/>
      <c r="C3" s="116"/>
      <c r="D3" s="115"/>
      <c r="E3" s="115"/>
      <c r="F3" s="115"/>
      <c r="G3" s="117"/>
      <c r="H3" s="125"/>
      <c r="I3" s="125" t="s">
        <v>212</v>
      </c>
      <c r="J3" s="115"/>
      <c r="K3" s="115"/>
      <c r="L3" s="115"/>
      <c r="M3" s="115"/>
      <c r="N3" s="115"/>
      <c r="O3" s="115"/>
      <c r="P3" s="115"/>
      <c r="Q3" s="118"/>
      <c r="R3" s="115"/>
      <c r="S3" s="115"/>
      <c r="T3" s="115"/>
      <c r="U3" s="115"/>
      <c r="V3" s="115"/>
      <c r="W3" s="301"/>
      <c r="X3" s="119"/>
      <c r="Y3" s="294" t="s">
        <v>103</v>
      </c>
    </row>
    <row r="4" spans="1:25" ht="6" customHeight="1" x14ac:dyDescent="0.2">
      <c r="A4" s="120"/>
      <c r="B4" s="121"/>
      <c r="C4" s="121"/>
      <c r="D4" s="121"/>
      <c r="E4" s="121"/>
      <c r="F4" s="121"/>
      <c r="G4" s="121"/>
      <c r="H4" s="121"/>
      <c r="I4" s="121"/>
      <c r="J4" s="121"/>
      <c r="K4" s="121"/>
      <c r="L4" s="121"/>
      <c r="M4" s="121"/>
      <c r="N4" s="121"/>
      <c r="O4" s="121"/>
      <c r="P4" s="121"/>
      <c r="Q4" s="122"/>
      <c r="R4" s="121"/>
      <c r="S4" s="121"/>
      <c r="T4" s="121"/>
      <c r="U4" s="121"/>
      <c r="V4" s="121"/>
      <c r="W4" s="121"/>
      <c r="X4" s="123"/>
      <c r="Y4" s="294" t="s">
        <v>135</v>
      </c>
    </row>
    <row r="5" spans="1:25" ht="7.5" customHeight="1" x14ac:dyDescent="0.2"/>
    <row r="6" spans="1:25" x14ac:dyDescent="0.2">
      <c r="B6" s="23"/>
      <c r="C6" s="24"/>
      <c r="D6" s="24"/>
      <c r="E6" s="24"/>
      <c r="F6" s="24"/>
      <c r="G6" s="24"/>
      <c r="H6" s="25"/>
      <c r="J6" s="23"/>
      <c r="K6" s="24"/>
      <c r="L6" s="24"/>
      <c r="M6" s="24"/>
      <c r="N6" s="24"/>
      <c r="O6" s="24"/>
      <c r="P6" s="25"/>
      <c r="R6" s="23"/>
      <c r="S6" s="24"/>
      <c r="T6" s="24"/>
      <c r="U6" s="24"/>
      <c r="V6" s="24"/>
      <c r="W6" s="24"/>
      <c r="X6" s="25"/>
    </row>
    <row r="7" spans="1:25" ht="15.75" x14ac:dyDescent="0.25">
      <c r="B7" s="26"/>
      <c r="C7" s="98" t="s">
        <v>77</v>
      </c>
      <c r="D7" s="28"/>
      <c r="E7" s="28"/>
      <c r="F7" s="28"/>
      <c r="G7" s="28"/>
      <c r="H7" s="30"/>
      <c r="J7" s="26"/>
      <c r="K7" s="107" t="s">
        <v>145</v>
      </c>
      <c r="L7" s="28"/>
      <c r="M7" s="28"/>
      <c r="N7" s="28"/>
      <c r="O7" s="28"/>
      <c r="P7" s="30"/>
      <c r="R7" s="26"/>
      <c r="S7" s="107" t="s">
        <v>146</v>
      </c>
      <c r="T7" s="28"/>
      <c r="U7" s="28"/>
      <c r="V7" s="28"/>
      <c r="W7" s="28"/>
      <c r="X7" s="30"/>
    </row>
    <row r="8" spans="1:25" ht="13.5" thickBot="1" x14ac:dyDescent="0.25">
      <c r="B8" s="26"/>
      <c r="C8" s="28"/>
      <c r="D8" s="28"/>
      <c r="E8" s="28"/>
      <c r="F8" s="28"/>
      <c r="G8" s="28"/>
      <c r="H8" s="30"/>
      <c r="J8" s="26"/>
      <c r="K8" s="28"/>
      <c r="L8" s="28"/>
      <c r="M8" s="28"/>
      <c r="N8" s="28"/>
      <c r="O8" s="28"/>
      <c r="P8" s="30"/>
      <c r="R8" s="26"/>
      <c r="S8" s="28"/>
      <c r="T8" s="28"/>
      <c r="U8" s="28"/>
      <c r="V8" s="28"/>
      <c r="W8" s="28"/>
      <c r="X8" s="30"/>
    </row>
    <row r="9" spans="1:25" ht="15.75" thickBot="1" x14ac:dyDescent="0.3">
      <c r="B9" s="26"/>
      <c r="C9" s="325" t="s">
        <v>71</v>
      </c>
      <c r="D9" s="100"/>
      <c r="E9" s="334"/>
      <c r="F9" s="335"/>
      <c r="G9" s="336"/>
      <c r="H9" s="101">
        <v>1</v>
      </c>
      <c r="J9" s="26"/>
      <c r="K9" s="27" t="s">
        <v>78</v>
      </c>
      <c r="L9" s="28"/>
      <c r="M9" s="28"/>
      <c r="N9" s="337">
        <v>6317.37</v>
      </c>
      <c r="O9" s="337"/>
      <c r="P9" s="30"/>
      <c r="R9" s="26"/>
      <c r="S9" s="27" t="s">
        <v>100</v>
      </c>
      <c r="T9" s="28"/>
      <c r="U9" s="28"/>
      <c r="V9" s="339"/>
      <c r="W9" s="339"/>
      <c r="X9" s="30"/>
    </row>
    <row r="10" spans="1:25" ht="15.75" thickBot="1" x14ac:dyDescent="0.3">
      <c r="B10" s="26"/>
      <c r="C10" s="102"/>
      <c r="D10" s="28"/>
      <c r="E10" s="28"/>
      <c r="F10" s="28"/>
      <c r="G10" s="28"/>
      <c r="H10" s="103"/>
      <c r="J10" s="26"/>
      <c r="K10" s="27"/>
      <c r="L10" s="28"/>
      <c r="M10" s="28"/>
      <c r="N10" s="108"/>
      <c r="O10" s="108"/>
      <c r="P10" s="30"/>
      <c r="R10" s="26"/>
      <c r="S10" s="27" t="s">
        <v>101</v>
      </c>
      <c r="T10" s="28"/>
      <c r="U10" s="28"/>
      <c r="V10" s="339"/>
      <c r="W10" s="339"/>
      <c r="X10" s="30"/>
    </row>
    <row r="11" spans="1:25" ht="15.75" thickBot="1" x14ac:dyDescent="0.3">
      <c r="B11" s="26"/>
      <c r="C11" s="325" t="s">
        <v>72</v>
      </c>
      <c r="D11" s="28"/>
      <c r="E11" s="334"/>
      <c r="F11" s="335"/>
      <c r="G11" s="336"/>
      <c r="H11" s="101">
        <v>1</v>
      </c>
      <c r="J11" s="26"/>
      <c r="K11" s="27" t="s">
        <v>71</v>
      </c>
      <c r="L11" s="28"/>
      <c r="M11" s="28"/>
      <c r="N11" s="337">
        <v>5338.37</v>
      </c>
      <c r="O11" s="337"/>
      <c r="P11" s="30"/>
      <c r="R11" s="26"/>
      <c r="S11" s="27" t="s">
        <v>102</v>
      </c>
      <c r="T11" s="28"/>
      <c r="U11" s="28"/>
      <c r="V11" s="339"/>
      <c r="W11" s="339"/>
      <c r="X11" s="30"/>
    </row>
    <row r="12" spans="1:25" ht="15.75" thickBot="1" x14ac:dyDescent="0.3">
      <c r="B12" s="26"/>
      <c r="C12" s="102"/>
      <c r="D12" s="28"/>
      <c r="E12" s="28"/>
      <c r="F12" s="28"/>
      <c r="G12" s="28"/>
      <c r="H12" s="103"/>
      <c r="J12" s="26"/>
      <c r="K12" s="27" t="s">
        <v>72</v>
      </c>
      <c r="L12" s="28"/>
      <c r="M12" s="28"/>
      <c r="N12" s="337">
        <v>8979</v>
      </c>
      <c r="O12" s="337"/>
      <c r="P12" s="30"/>
      <c r="R12" s="26"/>
      <c r="S12" s="27" t="s">
        <v>83</v>
      </c>
      <c r="T12" s="28"/>
      <c r="U12" s="28"/>
      <c r="V12" s="339"/>
      <c r="W12" s="339"/>
      <c r="X12" s="30"/>
    </row>
    <row r="13" spans="1:25" ht="15.75" thickBot="1" x14ac:dyDescent="0.3">
      <c r="B13" s="26"/>
      <c r="C13" s="325" t="s">
        <v>73</v>
      </c>
      <c r="D13" s="28"/>
      <c r="E13" s="334"/>
      <c r="F13" s="335"/>
      <c r="G13" s="336"/>
      <c r="H13" s="101">
        <v>1</v>
      </c>
      <c r="J13" s="26"/>
      <c r="K13" s="27" t="s">
        <v>73</v>
      </c>
      <c r="L13" s="28"/>
      <c r="M13" s="28"/>
      <c r="N13" s="337">
        <v>0</v>
      </c>
      <c r="O13" s="337"/>
      <c r="P13" s="30"/>
      <c r="R13" s="26"/>
      <c r="S13" s="27" t="s">
        <v>80</v>
      </c>
      <c r="T13" s="28"/>
      <c r="U13" s="28"/>
      <c r="V13" s="337"/>
      <c r="W13" s="337"/>
      <c r="X13" s="30"/>
    </row>
    <row r="14" spans="1:25" ht="15.75" thickBot="1" x14ac:dyDescent="0.3">
      <c r="B14" s="26"/>
      <c r="C14" s="102"/>
      <c r="D14" s="28"/>
      <c r="E14" s="28"/>
      <c r="F14" s="28"/>
      <c r="G14" s="28"/>
      <c r="H14" s="103"/>
      <c r="J14" s="26"/>
      <c r="K14" s="27" t="s">
        <v>74</v>
      </c>
      <c r="L14" s="28"/>
      <c r="M14" s="28"/>
      <c r="N14" s="337">
        <v>0</v>
      </c>
      <c r="O14" s="337"/>
      <c r="P14" s="30"/>
      <c r="R14" s="26"/>
      <c r="S14" s="28"/>
      <c r="T14" s="28"/>
      <c r="U14" s="28"/>
      <c r="V14" s="28"/>
      <c r="W14" s="28"/>
      <c r="X14" s="30"/>
    </row>
    <row r="15" spans="1:25" ht="15.75" thickBot="1" x14ac:dyDescent="0.3">
      <c r="B15" s="26"/>
      <c r="C15" s="99" t="s">
        <v>74</v>
      </c>
      <c r="D15" s="28"/>
      <c r="E15" s="334"/>
      <c r="F15" s="335"/>
      <c r="G15" s="336"/>
      <c r="H15" s="101">
        <v>1</v>
      </c>
      <c r="J15" s="26"/>
      <c r="K15" s="27" t="s">
        <v>75</v>
      </c>
      <c r="L15" s="28"/>
      <c r="M15" s="28"/>
      <c r="N15" s="337">
        <v>0</v>
      </c>
      <c r="O15" s="337"/>
      <c r="P15" s="30"/>
      <c r="R15" s="26"/>
      <c r="S15" s="109" t="s">
        <v>3</v>
      </c>
      <c r="T15" s="28"/>
      <c r="U15" s="28"/>
      <c r="V15" s="338"/>
      <c r="W15" s="338"/>
      <c r="X15" s="30"/>
    </row>
    <row r="16" spans="1:25" ht="15.75" thickBot="1" x14ac:dyDescent="0.3">
      <c r="B16" s="26"/>
      <c r="C16" s="102"/>
      <c r="D16" s="28"/>
      <c r="E16" s="28"/>
      <c r="F16" s="28"/>
      <c r="G16" s="28"/>
      <c r="H16" s="103"/>
      <c r="J16" s="26"/>
      <c r="K16" s="27" t="s">
        <v>76</v>
      </c>
      <c r="L16" s="28"/>
      <c r="M16" s="28"/>
      <c r="N16" s="337">
        <v>0</v>
      </c>
      <c r="O16" s="337"/>
      <c r="P16" s="30"/>
      <c r="R16" s="26"/>
      <c r="S16" s="109" t="s">
        <v>54</v>
      </c>
      <c r="T16" s="28"/>
      <c r="U16" s="28"/>
      <c r="V16" s="338"/>
      <c r="W16" s="338"/>
      <c r="X16" s="30"/>
    </row>
    <row r="17" spans="2:28" ht="15.75" thickBot="1" x14ac:dyDescent="0.3">
      <c r="B17" s="26"/>
      <c r="C17" s="99" t="s">
        <v>75</v>
      </c>
      <c r="D17" s="28"/>
      <c r="E17" s="334"/>
      <c r="F17" s="335"/>
      <c r="G17" s="336"/>
      <c r="H17" s="101">
        <v>1</v>
      </c>
      <c r="J17" s="26"/>
      <c r="K17" s="27" t="s">
        <v>81</v>
      </c>
      <c r="L17" s="28"/>
      <c r="M17" s="28"/>
      <c r="N17" s="337">
        <v>0</v>
      </c>
      <c r="O17" s="337"/>
      <c r="P17" s="30"/>
      <c r="R17" s="26"/>
      <c r="S17" s="109" t="s">
        <v>23</v>
      </c>
      <c r="T17" s="28"/>
      <c r="U17" s="28"/>
      <c r="V17" s="338"/>
      <c r="W17" s="338"/>
      <c r="X17" s="30"/>
    </row>
    <row r="18" spans="2:28" ht="15.75" thickBot="1" x14ac:dyDescent="0.3">
      <c r="B18" s="26"/>
      <c r="C18" s="102"/>
      <c r="D18" s="28"/>
      <c r="E18" s="28"/>
      <c r="F18" s="28"/>
      <c r="G18" s="28"/>
      <c r="H18" s="104"/>
      <c r="J18" s="26"/>
      <c r="K18" s="27" t="s">
        <v>82</v>
      </c>
      <c r="L18" s="28"/>
      <c r="M18" s="28"/>
      <c r="N18" s="337">
        <v>0</v>
      </c>
      <c r="O18" s="337"/>
      <c r="P18" s="30"/>
      <c r="R18" s="26"/>
      <c r="S18" s="109" t="s">
        <v>37</v>
      </c>
      <c r="T18" s="28"/>
      <c r="U18" s="28"/>
      <c r="V18" s="338"/>
      <c r="W18" s="338"/>
      <c r="X18" s="30"/>
    </row>
    <row r="19" spans="2:28" ht="15.75" thickBot="1" x14ac:dyDescent="0.3">
      <c r="B19" s="26"/>
      <c r="C19" s="99" t="s">
        <v>76</v>
      </c>
      <c r="D19" s="28"/>
      <c r="E19" s="334"/>
      <c r="F19" s="335"/>
      <c r="G19" s="336"/>
      <c r="H19" s="101">
        <v>1</v>
      </c>
      <c r="J19" s="26"/>
      <c r="K19" s="27" t="s">
        <v>153</v>
      </c>
      <c r="L19" s="28"/>
      <c r="M19" s="28"/>
      <c r="N19" s="337">
        <v>0</v>
      </c>
      <c r="O19" s="337"/>
      <c r="P19" s="30"/>
      <c r="R19" s="26"/>
      <c r="S19" s="109" t="s">
        <v>25</v>
      </c>
      <c r="T19" s="28"/>
      <c r="U19" s="28"/>
      <c r="V19" s="338"/>
      <c r="W19" s="338"/>
      <c r="X19" s="30"/>
    </row>
    <row r="20" spans="2:28" ht="15.75" thickBot="1" x14ac:dyDescent="0.3">
      <c r="B20" s="26"/>
      <c r="C20" s="27"/>
      <c r="D20" s="28"/>
      <c r="E20" s="105"/>
      <c r="F20" s="105"/>
      <c r="G20" s="105"/>
      <c r="H20" s="103"/>
      <c r="J20" s="26"/>
      <c r="K20" s="27" t="s">
        <v>154</v>
      </c>
      <c r="L20" s="28"/>
      <c r="M20" s="28"/>
      <c r="N20" s="337">
        <v>0</v>
      </c>
      <c r="O20" s="337"/>
      <c r="P20" s="30"/>
      <c r="R20" s="26"/>
      <c r="S20" s="109" t="s">
        <v>56</v>
      </c>
      <c r="T20" s="28"/>
      <c r="U20" s="28"/>
      <c r="V20" s="338"/>
      <c r="W20" s="338"/>
      <c r="X20" s="30"/>
    </row>
    <row r="21" spans="2:28" ht="15.75" thickBot="1" x14ac:dyDescent="0.3">
      <c r="B21" s="26"/>
      <c r="C21" s="99" t="s">
        <v>81</v>
      </c>
      <c r="D21" s="28"/>
      <c r="E21" s="334"/>
      <c r="F21" s="335"/>
      <c r="G21" s="336"/>
      <c r="H21" s="101">
        <v>1</v>
      </c>
      <c r="J21" s="26"/>
      <c r="K21" s="28"/>
      <c r="L21" s="28"/>
      <c r="M21" s="28"/>
      <c r="N21" s="28"/>
      <c r="O21" s="28"/>
      <c r="P21" s="30"/>
      <c r="R21" s="26"/>
      <c r="S21" s="109" t="s">
        <v>340</v>
      </c>
      <c r="T21" s="28"/>
      <c r="U21" s="28"/>
      <c r="V21" s="338"/>
      <c r="W21" s="338"/>
      <c r="X21" s="30"/>
    </row>
    <row r="22" spans="2:28" ht="15.75" thickBot="1" x14ac:dyDescent="0.3">
      <c r="B22" s="26"/>
      <c r="C22" s="27"/>
      <c r="D22" s="28"/>
      <c r="E22" s="105"/>
      <c r="F22" s="105"/>
      <c r="G22" s="105"/>
      <c r="H22" s="103"/>
      <c r="J22" s="26"/>
      <c r="K22" s="109" t="s">
        <v>3</v>
      </c>
      <c r="L22" s="28"/>
      <c r="M22" s="28"/>
      <c r="N22" s="338">
        <v>99</v>
      </c>
      <c r="O22" s="338"/>
      <c r="P22" s="30"/>
      <c r="R22" s="26"/>
      <c r="S22" s="109"/>
      <c r="T22" s="28"/>
      <c r="U22" s="28"/>
      <c r="V22" s="110"/>
      <c r="W22" s="110"/>
      <c r="X22" s="30"/>
      <c r="AB22" s="294">
        <v>1</v>
      </c>
    </row>
    <row r="23" spans="2:28" ht="15.75" thickBot="1" x14ac:dyDescent="0.3">
      <c r="B23" s="26"/>
      <c r="C23" s="27" t="s">
        <v>82</v>
      </c>
      <c r="D23" s="106"/>
      <c r="E23" s="334"/>
      <c r="F23" s="335"/>
      <c r="G23" s="336"/>
      <c r="H23" s="101">
        <v>1</v>
      </c>
      <c r="J23" s="26"/>
      <c r="K23" s="109" t="s">
        <v>54</v>
      </c>
      <c r="L23" s="28"/>
      <c r="M23" s="28"/>
      <c r="N23" s="338">
        <v>652</v>
      </c>
      <c r="O23" s="338"/>
      <c r="P23" s="30"/>
      <c r="R23" s="26"/>
      <c r="S23" s="107" t="s">
        <v>79</v>
      </c>
      <c r="T23" s="28"/>
      <c r="U23" s="28"/>
      <c r="V23" s="102"/>
      <c r="W23" s="28"/>
      <c r="X23" s="30"/>
      <c r="AB23" s="294">
        <v>2</v>
      </c>
    </row>
    <row r="24" spans="2:28" ht="15" thickBot="1" x14ac:dyDescent="0.25">
      <c r="B24" s="26"/>
      <c r="C24" s="28"/>
      <c r="D24" s="28"/>
      <c r="E24" s="28"/>
      <c r="F24" s="28"/>
      <c r="G24" s="28"/>
      <c r="H24" s="30"/>
      <c r="J24" s="26"/>
      <c r="K24" s="109" t="s">
        <v>23</v>
      </c>
      <c r="L24" s="28"/>
      <c r="M24" s="28"/>
      <c r="N24" s="338">
        <v>0</v>
      </c>
      <c r="O24" s="338"/>
      <c r="P24" s="30"/>
      <c r="R24" s="26"/>
      <c r="S24" s="109" t="s">
        <v>9</v>
      </c>
      <c r="T24" s="28"/>
      <c r="U24" s="28"/>
      <c r="V24" s="338"/>
      <c r="W24" s="338"/>
      <c r="X24" s="30"/>
      <c r="AB24" s="294">
        <v>3</v>
      </c>
    </row>
    <row r="25" spans="2:28" ht="15.75" thickBot="1" x14ac:dyDescent="0.3">
      <c r="B25" s="26"/>
      <c r="C25" s="27" t="s">
        <v>153</v>
      </c>
      <c r="D25" s="28"/>
      <c r="E25" s="334"/>
      <c r="F25" s="335"/>
      <c r="G25" s="336"/>
      <c r="H25" s="101">
        <v>1</v>
      </c>
      <c r="J25" s="26"/>
      <c r="K25" s="109" t="s">
        <v>37</v>
      </c>
      <c r="L25" s="28"/>
      <c r="M25" s="28"/>
      <c r="N25" s="338">
        <v>4171.37</v>
      </c>
      <c r="O25" s="338"/>
      <c r="P25" s="30"/>
      <c r="R25" s="26"/>
      <c r="S25" s="109" t="s">
        <v>21</v>
      </c>
      <c r="T25" s="28"/>
      <c r="U25" s="28"/>
      <c r="V25" s="338"/>
      <c r="W25" s="338"/>
      <c r="X25" s="30"/>
      <c r="AB25" s="294">
        <v>4</v>
      </c>
    </row>
    <row r="26" spans="2:28" ht="15" thickBot="1" x14ac:dyDescent="0.25">
      <c r="B26" s="26"/>
      <c r="C26" s="28"/>
      <c r="D26" s="28"/>
      <c r="E26" s="28"/>
      <c r="F26" s="28"/>
      <c r="G26" s="28"/>
      <c r="H26" s="30"/>
      <c r="J26" s="26"/>
      <c r="K26" s="109" t="s">
        <v>25</v>
      </c>
      <c r="L26" s="28"/>
      <c r="M26" s="28"/>
      <c r="N26" s="338">
        <v>0</v>
      </c>
      <c r="O26" s="338"/>
      <c r="P26" s="30"/>
      <c r="R26" s="26"/>
      <c r="S26" s="109" t="s">
        <v>39</v>
      </c>
      <c r="T26" s="28"/>
      <c r="U26" s="28"/>
      <c r="V26" s="338"/>
      <c r="W26" s="338"/>
      <c r="X26" s="30"/>
      <c r="AB26" s="294">
        <v>5</v>
      </c>
    </row>
    <row r="27" spans="2:28" ht="15.75" thickBot="1" x14ac:dyDescent="0.3">
      <c r="B27" s="26"/>
      <c r="C27" s="27" t="s">
        <v>154</v>
      </c>
      <c r="D27" s="28"/>
      <c r="E27" s="334"/>
      <c r="F27" s="335"/>
      <c r="G27" s="336"/>
      <c r="H27" s="101">
        <v>1</v>
      </c>
      <c r="J27" s="26"/>
      <c r="K27" s="109" t="s">
        <v>56</v>
      </c>
      <c r="L27" s="28"/>
      <c r="M27" s="28"/>
      <c r="N27" s="338">
        <v>9395</v>
      </c>
      <c r="O27" s="338"/>
      <c r="P27" s="30"/>
      <c r="R27" s="26"/>
      <c r="S27" s="109" t="s">
        <v>7</v>
      </c>
      <c r="T27" s="28"/>
      <c r="U27" s="28"/>
      <c r="V27" s="338"/>
      <c r="W27" s="338"/>
      <c r="X27" s="30"/>
      <c r="AB27" s="294">
        <v>6</v>
      </c>
    </row>
    <row r="28" spans="2:28" ht="14.25" x14ac:dyDescent="0.2">
      <c r="B28" s="26"/>
      <c r="C28" s="28"/>
      <c r="D28" s="28"/>
      <c r="E28" s="28"/>
      <c r="F28" s="28"/>
      <c r="G28" s="28"/>
      <c r="H28" s="30"/>
      <c r="J28" s="26"/>
      <c r="K28" s="109" t="s">
        <v>340</v>
      </c>
      <c r="L28" s="28"/>
      <c r="M28" s="28"/>
      <c r="N28" s="338">
        <v>0</v>
      </c>
      <c r="O28" s="338"/>
      <c r="P28" s="30"/>
      <c r="R28" s="26"/>
      <c r="S28" s="109" t="s">
        <v>5</v>
      </c>
      <c r="T28" s="28"/>
      <c r="U28" s="28"/>
      <c r="V28" s="338"/>
      <c r="W28" s="338"/>
      <c r="X28" s="30"/>
      <c r="AB28" s="294">
        <v>7</v>
      </c>
    </row>
    <row r="29" spans="2:28" ht="14.25" x14ac:dyDescent="0.2">
      <c r="B29" s="26"/>
      <c r="C29" s="28"/>
      <c r="D29" s="28"/>
      <c r="E29" s="28"/>
      <c r="F29" s="28"/>
      <c r="G29" s="28"/>
      <c r="H29" s="30"/>
      <c r="J29" s="26"/>
      <c r="K29" s="28"/>
      <c r="L29" s="28"/>
      <c r="M29" s="28"/>
      <c r="N29" s="102"/>
      <c r="O29" s="28"/>
      <c r="P29" s="30"/>
      <c r="R29" s="26"/>
      <c r="S29" s="109" t="s">
        <v>12</v>
      </c>
      <c r="T29" s="28"/>
      <c r="U29" s="28"/>
      <c r="V29" s="338"/>
      <c r="W29" s="338"/>
      <c r="X29" s="30"/>
    </row>
    <row r="30" spans="2:28" ht="15" x14ac:dyDescent="0.25">
      <c r="B30" s="36"/>
      <c r="C30" s="37"/>
      <c r="D30" s="37"/>
      <c r="E30" s="37"/>
      <c r="F30" s="37"/>
      <c r="G30" s="37"/>
      <c r="H30" s="38"/>
      <c r="J30" s="26"/>
      <c r="K30" s="107" t="s">
        <v>79</v>
      </c>
      <c r="L30" s="28"/>
      <c r="M30" s="28"/>
      <c r="N30" s="102"/>
      <c r="O30" s="28"/>
      <c r="P30" s="30"/>
      <c r="R30" s="26"/>
      <c r="S30" s="109" t="s">
        <v>58</v>
      </c>
      <c r="T30" s="28"/>
      <c r="U30" s="28"/>
      <c r="V30" s="338"/>
      <c r="W30" s="338"/>
      <c r="X30" s="30"/>
    </row>
    <row r="31" spans="2:28" ht="15" thickBot="1" x14ac:dyDescent="0.25">
      <c r="J31" s="26"/>
      <c r="K31" s="109" t="s">
        <v>9</v>
      </c>
      <c r="L31" s="28"/>
      <c r="M31" s="28"/>
      <c r="N31" s="338">
        <v>0</v>
      </c>
      <c r="O31" s="338"/>
      <c r="P31" s="30"/>
      <c r="R31" s="26"/>
      <c r="S31" s="109" t="s">
        <v>24</v>
      </c>
      <c r="T31" s="28"/>
      <c r="U31" s="28"/>
      <c r="V31" s="338"/>
      <c r="W31" s="338"/>
      <c r="X31" s="30"/>
    </row>
    <row r="32" spans="2:28" ht="15" x14ac:dyDescent="0.25">
      <c r="C32" s="340" t="s">
        <v>84</v>
      </c>
      <c r="D32" s="341"/>
      <c r="J32" s="26"/>
      <c r="K32" s="109" t="s">
        <v>21</v>
      </c>
      <c r="L32" s="28"/>
      <c r="M32" s="28"/>
      <c r="N32" s="338">
        <v>0</v>
      </c>
      <c r="O32" s="338"/>
      <c r="P32" s="30"/>
      <c r="R32" s="26"/>
      <c r="S32" s="109" t="s">
        <v>13</v>
      </c>
      <c r="T32" s="28"/>
      <c r="U32" s="28"/>
      <c r="V32" s="338"/>
      <c r="W32" s="338"/>
      <c r="X32" s="30"/>
    </row>
    <row r="33" spans="2:24" ht="15.75" thickBot="1" x14ac:dyDescent="0.3">
      <c r="C33" s="342">
        <f>'Delivery Cost'!I6</f>
        <v>0</v>
      </c>
      <c r="D33" s="343"/>
      <c r="J33" s="26"/>
      <c r="K33" s="109" t="s">
        <v>39</v>
      </c>
      <c r="L33" s="28"/>
      <c r="M33" s="28"/>
      <c r="N33" s="338">
        <v>4823.37</v>
      </c>
      <c r="O33" s="338"/>
      <c r="P33" s="30"/>
      <c r="R33" s="26"/>
      <c r="S33" s="109" t="s">
        <v>14</v>
      </c>
      <c r="T33" s="28"/>
      <c r="U33" s="28"/>
      <c r="V33" s="338"/>
      <c r="W33" s="338"/>
      <c r="X33" s="30"/>
    </row>
    <row r="34" spans="2:24" ht="14.25" x14ac:dyDescent="0.2">
      <c r="J34" s="26"/>
      <c r="K34" s="109" t="s">
        <v>7</v>
      </c>
      <c r="L34" s="28"/>
      <c r="M34" s="28"/>
      <c r="N34" s="338">
        <v>472</v>
      </c>
      <c r="O34" s="338"/>
      <c r="P34" s="30"/>
      <c r="R34" s="36"/>
      <c r="S34" s="37"/>
      <c r="T34" s="37"/>
      <c r="U34" s="37"/>
      <c r="V34" s="37"/>
      <c r="W34" s="37"/>
      <c r="X34" s="38"/>
    </row>
    <row r="35" spans="2:24" ht="14.25" x14ac:dyDescent="0.2">
      <c r="J35" s="26"/>
      <c r="K35" s="109" t="s">
        <v>5</v>
      </c>
      <c r="L35" s="28"/>
      <c r="M35" s="28"/>
      <c r="N35" s="338">
        <v>99</v>
      </c>
      <c r="O35" s="338"/>
      <c r="P35" s="30"/>
    </row>
    <row r="36" spans="2:24" ht="14.25" x14ac:dyDescent="0.2">
      <c r="J36" s="26"/>
      <c r="K36" s="109" t="s">
        <v>12</v>
      </c>
      <c r="L36" s="28"/>
      <c r="M36" s="28"/>
      <c r="N36" s="338">
        <v>0</v>
      </c>
      <c r="O36" s="338"/>
      <c r="P36" s="30"/>
      <c r="R36" s="106"/>
      <c r="S36" s="106"/>
      <c r="T36" s="106"/>
      <c r="U36" s="106"/>
      <c r="V36" s="106"/>
      <c r="W36" s="106"/>
      <c r="X36" s="106"/>
    </row>
    <row r="37" spans="2:24" ht="14.25" x14ac:dyDescent="0.2">
      <c r="J37" s="26"/>
      <c r="K37" s="109" t="s">
        <v>58</v>
      </c>
      <c r="L37" s="28"/>
      <c r="M37" s="28"/>
      <c r="N37" s="338">
        <v>923</v>
      </c>
      <c r="O37" s="338"/>
      <c r="P37" s="30"/>
      <c r="R37" s="106"/>
      <c r="S37" s="106"/>
      <c r="T37" s="106"/>
      <c r="U37" s="106"/>
      <c r="V37" s="106"/>
      <c r="W37" s="106"/>
      <c r="X37" s="106"/>
    </row>
    <row r="38" spans="2:24" ht="14.25" x14ac:dyDescent="0.2">
      <c r="J38" s="26"/>
      <c r="K38" s="109" t="s">
        <v>24</v>
      </c>
      <c r="L38" s="28"/>
      <c r="M38" s="28"/>
      <c r="N38" s="338">
        <v>0</v>
      </c>
      <c r="O38" s="338"/>
      <c r="P38" s="30"/>
      <c r="R38" s="106"/>
      <c r="S38" s="106"/>
      <c r="T38" s="106"/>
      <c r="U38" s="106"/>
      <c r="V38" s="106"/>
      <c r="W38" s="106"/>
      <c r="X38" s="106"/>
    </row>
    <row r="39" spans="2:24" ht="14.25" x14ac:dyDescent="0.2">
      <c r="J39" s="26"/>
      <c r="K39" s="109" t="s">
        <v>13</v>
      </c>
      <c r="L39" s="28"/>
      <c r="M39" s="28"/>
      <c r="N39" s="338">
        <v>0</v>
      </c>
      <c r="O39" s="338"/>
      <c r="P39" s="30"/>
      <c r="R39" s="106"/>
      <c r="S39" s="106"/>
      <c r="T39" s="106"/>
      <c r="U39" s="106"/>
      <c r="V39" s="106"/>
      <c r="W39" s="106"/>
      <c r="X39" s="106"/>
    </row>
    <row r="40" spans="2:24" ht="14.25" x14ac:dyDescent="0.2">
      <c r="J40" s="26"/>
      <c r="K40" s="109" t="s">
        <v>14</v>
      </c>
      <c r="L40" s="28"/>
      <c r="M40" s="28"/>
      <c r="N40" s="338">
        <v>0</v>
      </c>
      <c r="O40" s="338"/>
      <c r="P40" s="30"/>
    </row>
    <row r="41" spans="2:24" x14ac:dyDescent="0.2">
      <c r="J41" s="36"/>
      <c r="K41" s="37"/>
      <c r="L41" s="37"/>
      <c r="M41" s="37"/>
      <c r="N41" s="37"/>
      <c r="O41" s="37"/>
      <c r="P41" s="38"/>
    </row>
    <row r="44" spans="2:24" x14ac:dyDescent="0.2">
      <c r="B44" s="97" t="s">
        <v>152</v>
      </c>
    </row>
  </sheetData>
  <sheetProtection password="D78B" sheet="1" scenarios="1"/>
  <mergeCells count="62">
    <mergeCell ref="C32:D32"/>
    <mergeCell ref="C33:D33"/>
    <mergeCell ref="N39:O39"/>
    <mergeCell ref="N40:O40"/>
    <mergeCell ref="N35:O35"/>
    <mergeCell ref="N36:O36"/>
    <mergeCell ref="N37:O37"/>
    <mergeCell ref="N38:O38"/>
    <mergeCell ref="N32:O32"/>
    <mergeCell ref="N33:O33"/>
    <mergeCell ref="N34:O34"/>
    <mergeCell ref="N25:O25"/>
    <mergeCell ref="N26:O26"/>
    <mergeCell ref="N27:O27"/>
    <mergeCell ref="N31:O31"/>
    <mergeCell ref="N28:O28"/>
    <mergeCell ref="N22:O22"/>
    <mergeCell ref="N23:O23"/>
    <mergeCell ref="N24:O24"/>
    <mergeCell ref="N11:O11"/>
    <mergeCell ref="N12:O12"/>
    <mergeCell ref="N13:O13"/>
    <mergeCell ref="N14:O14"/>
    <mergeCell ref="N15:O15"/>
    <mergeCell ref="N16:O16"/>
    <mergeCell ref="E9:G9"/>
    <mergeCell ref="E11:G11"/>
    <mergeCell ref="E13:G13"/>
    <mergeCell ref="E15:G15"/>
    <mergeCell ref="V13:W13"/>
    <mergeCell ref="V15:W15"/>
    <mergeCell ref="V9:W9"/>
    <mergeCell ref="V10:W10"/>
    <mergeCell ref="V11:W11"/>
    <mergeCell ref="V12:W12"/>
    <mergeCell ref="N9:O9"/>
    <mergeCell ref="V16:W16"/>
    <mergeCell ref="V17:W17"/>
    <mergeCell ref="E27:G27"/>
    <mergeCell ref="V18:W18"/>
    <mergeCell ref="V32:W32"/>
    <mergeCell ref="E23:G23"/>
    <mergeCell ref="V21:W21"/>
    <mergeCell ref="E25:G25"/>
    <mergeCell ref="V24:W24"/>
    <mergeCell ref="N20:O20"/>
    <mergeCell ref="V25:W25"/>
    <mergeCell ref="V26:W26"/>
    <mergeCell ref="V27:W27"/>
    <mergeCell ref="N17:O17"/>
    <mergeCell ref="N18:O18"/>
    <mergeCell ref="E17:G17"/>
    <mergeCell ref="V33:W33"/>
    <mergeCell ref="V28:W28"/>
    <mergeCell ref="V29:W29"/>
    <mergeCell ref="V30:W30"/>
    <mergeCell ref="V31:W31"/>
    <mergeCell ref="E19:G19"/>
    <mergeCell ref="N19:O19"/>
    <mergeCell ref="V19:W19"/>
    <mergeCell ref="V20:W20"/>
    <mergeCell ref="E21:G21"/>
  </mergeCells>
  <phoneticPr fontId="4" type="noConversion"/>
  <conditionalFormatting sqref="N31:O40 V24:W33 N9:O9 V13:W13">
    <cfRule type="cellIs" dxfId="11" priority="1" stopIfTrue="1" operator="lessThan">
      <formula>0</formula>
    </cfRule>
  </conditionalFormatting>
  <dataValidations count="1">
    <dataValidation type="decimal" allowBlank="1" showInputMessage="1" showErrorMessage="1" sqref="C33">
      <formula1>0</formula1>
      <formula2>10000000</formula2>
    </dataValidation>
  </dataValidations>
  <hyperlinks>
    <hyperlink ref="C9" location="'FM1_Mother'!units" tooltip="Link to family member 'Mother' worksheet" display="Family Member 1"/>
    <hyperlink ref="C11" location="'FM2_Father'!units" tooltip="Link to family member 'Father' worksheet" display="Family Member 2"/>
    <hyperlink ref="C13" location="'FM3_Child A'!units" tooltip="Link to family member 'Child A' worksheet" display="Family Member 3"/>
  </hyperlinks>
  <pageMargins left="0.75" right="0.75" top="1" bottom="1" header="0.5" footer="0.5"/>
  <pageSetup paperSize="9" scale="69" orientation="landscape" r:id="rId1"/>
  <headerFooter alignWithMargins="0"/>
  <drawing r:id="rId2"/>
  <legacyDrawing r:id="rId3"/>
  <controls>
    <mc:AlternateContent xmlns:mc="http://schemas.openxmlformats.org/markup-compatibility/2006">
      <mc:Choice Requires="x14">
        <control shapeId="2139" r:id="rId4" name="btnIntCost">
          <controlPr autoLine="0" r:id="rId5">
            <anchor moveWithCells="1">
              <from>
                <xdr:col>4</xdr:col>
                <xdr:colOff>152400</xdr:colOff>
                <xdr:row>31</xdr:row>
                <xdr:rowOff>0</xdr:rowOff>
              </from>
              <to>
                <xdr:col>6</xdr:col>
                <xdr:colOff>342900</xdr:colOff>
                <xdr:row>33</xdr:row>
                <xdr:rowOff>9525</xdr:rowOff>
              </to>
            </anchor>
          </controlPr>
        </control>
      </mc:Choice>
      <mc:Fallback>
        <control shapeId="2139" r:id="rId4" name="btnIntCost"/>
      </mc:Fallback>
    </mc:AlternateContent>
    <mc:AlternateContent xmlns:mc="http://schemas.openxmlformats.org/markup-compatibility/2006">
      <mc:Choice Requires="x14">
        <control shapeId="2121" r:id="rId6" name="txtComments">
          <controlPr print="0" autoLine="0" r:id="rId7">
            <anchor moveWithCells="1">
              <from>
                <xdr:col>1</xdr:col>
                <xdr:colOff>28575</xdr:colOff>
                <xdr:row>44</xdr:row>
                <xdr:rowOff>76200</xdr:rowOff>
              </from>
              <to>
                <xdr:col>8</xdr:col>
                <xdr:colOff>0</xdr:colOff>
                <xdr:row>51</xdr:row>
                <xdr:rowOff>123825</xdr:rowOff>
              </to>
            </anchor>
          </controlPr>
        </control>
      </mc:Choice>
      <mc:Fallback>
        <control shapeId="2121" r:id="rId6" name="txtComments"/>
      </mc:Fallback>
    </mc:AlternateContent>
    <mc:AlternateContent xmlns:mc="http://schemas.openxmlformats.org/markup-compatibility/2006">
      <mc:Choice Requires="x14">
        <control shapeId="2082" r:id="rId8" name="btnFamAverage">
          <controlPr locked="0" autoLine="0" r:id="rId9">
            <anchor moveWithCells="1">
              <from>
                <xdr:col>18</xdr:col>
                <xdr:colOff>57150</xdr:colOff>
                <xdr:row>35</xdr:row>
                <xdr:rowOff>171450</xdr:rowOff>
              </from>
              <to>
                <xdr:col>19</xdr:col>
                <xdr:colOff>466725</xdr:colOff>
                <xdr:row>38</xdr:row>
                <xdr:rowOff>38100</xdr:rowOff>
              </to>
            </anchor>
          </controlPr>
        </control>
      </mc:Choice>
      <mc:Fallback>
        <control shapeId="2082" r:id="rId8" name="btnFamAverage"/>
      </mc:Fallback>
    </mc:AlternateContent>
    <mc:AlternateContent xmlns:mc="http://schemas.openxmlformats.org/markup-compatibility/2006">
      <mc:Choice Requires="x14">
        <control shapeId="2081" r:id="rId10" name="chkHint">
          <controlPr autoLine="0" r:id="rId11">
            <anchor moveWithCells="1">
              <from>
                <xdr:col>1</xdr:col>
                <xdr:colOff>38100</xdr:colOff>
                <xdr:row>1</xdr:row>
                <xdr:rowOff>161925</xdr:rowOff>
              </from>
              <to>
                <xdr:col>2</xdr:col>
                <xdr:colOff>876300</xdr:colOff>
                <xdr:row>2</xdr:row>
                <xdr:rowOff>114300</xdr:rowOff>
              </to>
            </anchor>
          </controlPr>
        </control>
      </mc:Choice>
      <mc:Fallback>
        <control shapeId="2081" r:id="rId10" name="chkHint"/>
      </mc:Fallback>
    </mc:AlternateContent>
    <mc:AlternateContent xmlns:mc="http://schemas.openxmlformats.org/markup-compatibility/2006">
      <mc:Choice Requires="x14">
        <control shapeId="2080" r:id="rId12" name="imgHelp">
          <controlPr defaultSize="0" autoLine="0" r:id="rId13">
            <anchor moveWithCells="1">
              <from>
                <xdr:col>2</xdr:col>
                <xdr:colOff>1038225</xdr:colOff>
                <xdr:row>1</xdr:row>
                <xdr:rowOff>152400</xdr:rowOff>
              </from>
              <to>
                <xdr:col>3</xdr:col>
                <xdr:colOff>133350</xdr:colOff>
                <xdr:row>2</xdr:row>
                <xdr:rowOff>152400</xdr:rowOff>
              </to>
            </anchor>
          </controlPr>
        </control>
      </mc:Choice>
      <mc:Fallback>
        <control shapeId="2080" r:id="rId12" name="imgHelp"/>
      </mc:Fallback>
    </mc:AlternateContent>
    <mc:AlternateContent xmlns:mc="http://schemas.openxmlformats.org/markup-compatibility/2006">
      <mc:Choice Requires="x14">
        <control shapeId="2079" r:id="rId14" name="btnprojection">
          <controlPr locked="0" autoLine="0" r:id="rId15">
            <anchor moveWithCells="1">
              <from>
                <xdr:col>20</xdr:col>
                <xdr:colOff>342900</xdr:colOff>
                <xdr:row>35</xdr:row>
                <xdr:rowOff>161925</xdr:rowOff>
              </from>
              <to>
                <xdr:col>23</xdr:col>
                <xdr:colOff>0</xdr:colOff>
                <xdr:row>38</xdr:row>
                <xdr:rowOff>28575</xdr:rowOff>
              </to>
            </anchor>
          </controlPr>
        </control>
      </mc:Choice>
      <mc:Fallback>
        <control shapeId="2079" r:id="rId14" name="btnprojection"/>
      </mc:Fallback>
    </mc:AlternateContent>
    <mc:AlternateContent xmlns:mc="http://schemas.openxmlformats.org/markup-compatibility/2006">
      <mc:Choice Requires="x14">
        <control shapeId="2055" r:id="rId16" name="btnCalculateCase">
          <controlPr locked="0" autoLine="0" r:id="rId17">
            <anchor moveWithCells="1">
              <from>
                <xdr:col>21</xdr:col>
                <xdr:colOff>219075</xdr:colOff>
                <xdr:row>5</xdr:row>
                <xdr:rowOff>76200</xdr:rowOff>
              </from>
              <to>
                <xdr:col>23</xdr:col>
                <xdr:colOff>123825</xdr:colOff>
                <xdr:row>7</xdr:row>
                <xdr:rowOff>123825</xdr:rowOff>
              </to>
            </anchor>
          </controlPr>
        </control>
      </mc:Choice>
      <mc:Fallback>
        <control shapeId="2055" r:id="rId16" name="btnCalculateCase"/>
      </mc:Fallback>
    </mc:AlternateContent>
    <mc:AlternateContent xmlns:mc="http://schemas.openxmlformats.org/markup-compatibility/2006">
      <mc:Choice Requires="x14">
        <control shapeId="2051" r:id="rId18" name="btnCalculate">
          <controlPr locked="0" autoLine="0" r:id="rId19">
            <anchor moveWithCells="1">
              <from>
                <xdr:col>13</xdr:col>
                <xdr:colOff>38100</xdr:colOff>
                <xdr:row>5</xdr:row>
                <xdr:rowOff>76200</xdr:rowOff>
              </from>
              <to>
                <xdr:col>15</xdr:col>
                <xdr:colOff>114300</xdr:colOff>
                <xdr:row>7</xdr:row>
                <xdr:rowOff>123825</xdr:rowOff>
              </to>
            </anchor>
          </controlPr>
        </control>
      </mc:Choice>
      <mc:Fallback>
        <control shapeId="2051" r:id="rId18" name="btnCalculate"/>
      </mc:Fallback>
    </mc:AlternateContent>
    <mc:AlternateContent xmlns:mc="http://schemas.openxmlformats.org/markup-compatibility/2006">
      <mc:Choice Requires="x14">
        <control shapeId="2050" r:id="rId20" name="btnDelete">
          <controlPr locked="0" autoLine="0" r:id="rId21">
            <anchor moveWithCells="1">
              <from>
                <xdr:col>5</xdr:col>
                <xdr:colOff>400050</xdr:colOff>
                <xdr:row>27</xdr:row>
                <xdr:rowOff>133350</xdr:rowOff>
              </from>
              <to>
                <xdr:col>7</xdr:col>
                <xdr:colOff>590550</xdr:colOff>
                <xdr:row>29</xdr:row>
                <xdr:rowOff>76200</xdr:rowOff>
              </to>
            </anchor>
          </controlPr>
        </control>
      </mc:Choice>
      <mc:Fallback>
        <control shapeId="2050" r:id="rId20" name="btnDelete"/>
      </mc:Fallback>
    </mc:AlternateContent>
    <mc:AlternateContent xmlns:mc="http://schemas.openxmlformats.org/markup-compatibility/2006">
      <mc:Choice Requires="x14">
        <control shapeId="2049" r:id="rId22" name="btnCreateFam">
          <controlPr locked="0" autoLine="0" r:id="rId23">
            <anchor moveWithCells="1">
              <from>
                <xdr:col>2</xdr:col>
                <xdr:colOff>180975</xdr:colOff>
                <xdr:row>27</xdr:row>
                <xdr:rowOff>152400</xdr:rowOff>
              </from>
              <to>
                <xdr:col>4</xdr:col>
                <xdr:colOff>209550</xdr:colOff>
                <xdr:row>29</xdr:row>
                <xdr:rowOff>95250</xdr:rowOff>
              </to>
            </anchor>
          </controlPr>
        </control>
      </mc:Choice>
      <mc:Fallback>
        <control shapeId="2049" r:id="rId22" name="btnCreateFam"/>
      </mc:Fallback>
    </mc:AlternateContent>
    <mc:AlternateContent xmlns:mc="http://schemas.openxmlformats.org/markup-compatibility/2006">
      <mc:Choice Requires="x14">
        <control shapeId="2068" r:id="rId24" name="Drop Down 20">
          <controlPr locked="0" defaultSize="0" autoLine="0" autoPict="0">
            <anchor moveWithCells="1">
              <from>
                <xdr:col>7</xdr:col>
                <xdr:colOff>114300</xdr:colOff>
                <xdr:row>7</xdr:row>
                <xdr:rowOff>152400</xdr:rowOff>
              </from>
              <to>
                <xdr:col>7</xdr:col>
                <xdr:colOff>533400</xdr:colOff>
                <xdr:row>9</xdr:row>
                <xdr:rowOff>0</xdr:rowOff>
              </to>
            </anchor>
          </controlPr>
        </control>
      </mc:Choice>
    </mc:AlternateContent>
    <mc:AlternateContent xmlns:mc="http://schemas.openxmlformats.org/markup-compatibility/2006">
      <mc:Choice Requires="x14">
        <control shapeId="2069" r:id="rId25" name="Drop Down 21">
          <controlPr locked="0" defaultSize="0" autoLine="0" autoPict="0">
            <anchor moveWithCells="1">
              <from>
                <xdr:col>7</xdr:col>
                <xdr:colOff>114300</xdr:colOff>
                <xdr:row>21</xdr:row>
                <xdr:rowOff>190500</xdr:rowOff>
              </from>
              <to>
                <xdr:col>7</xdr:col>
                <xdr:colOff>533400</xdr:colOff>
                <xdr:row>23</xdr:row>
                <xdr:rowOff>9525</xdr:rowOff>
              </to>
            </anchor>
          </controlPr>
        </control>
      </mc:Choice>
    </mc:AlternateContent>
    <mc:AlternateContent xmlns:mc="http://schemas.openxmlformats.org/markup-compatibility/2006">
      <mc:Choice Requires="x14">
        <control shapeId="2070" r:id="rId26" name="Drop Down 22">
          <controlPr locked="0" defaultSize="0" autoLine="0" autoPict="0">
            <anchor moveWithCells="1">
              <from>
                <xdr:col>7</xdr:col>
                <xdr:colOff>114300</xdr:colOff>
                <xdr:row>9</xdr:row>
                <xdr:rowOff>171450</xdr:rowOff>
              </from>
              <to>
                <xdr:col>7</xdr:col>
                <xdr:colOff>533400</xdr:colOff>
                <xdr:row>10</xdr:row>
                <xdr:rowOff>190500</xdr:rowOff>
              </to>
            </anchor>
          </controlPr>
        </control>
      </mc:Choice>
    </mc:AlternateContent>
    <mc:AlternateContent xmlns:mc="http://schemas.openxmlformats.org/markup-compatibility/2006">
      <mc:Choice Requires="x14">
        <control shapeId="2071" r:id="rId27" name="Drop Down 23">
          <controlPr locked="0" defaultSize="0" autoLine="0" autoPict="0">
            <anchor moveWithCells="1">
              <from>
                <xdr:col>7</xdr:col>
                <xdr:colOff>114300</xdr:colOff>
                <xdr:row>11</xdr:row>
                <xdr:rowOff>180975</xdr:rowOff>
              </from>
              <to>
                <xdr:col>7</xdr:col>
                <xdr:colOff>533400</xdr:colOff>
                <xdr:row>13</xdr:row>
                <xdr:rowOff>0</xdr:rowOff>
              </to>
            </anchor>
          </controlPr>
        </control>
      </mc:Choice>
    </mc:AlternateContent>
    <mc:AlternateContent xmlns:mc="http://schemas.openxmlformats.org/markup-compatibility/2006">
      <mc:Choice Requires="x14">
        <control shapeId="2072" r:id="rId28" name="Drop Down 24">
          <controlPr locked="0" defaultSize="0" autoLine="0" autoPict="0">
            <anchor moveWithCells="1">
              <from>
                <xdr:col>7</xdr:col>
                <xdr:colOff>114300</xdr:colOff>
                <xdr:row>13</xdr:row>
                <xdr:rowOff>180975</xdr:rowOff>
              </from>
              <to>
                <xdr:col>7</xdr:col>
                <xdr:colOff>533400</xdr:colOff>
                <xdr:row>15</xdr:row>
                <xdr:rowOff>0</xdr:rowOff>
              </to>
            </anchor>
          </controlPr>
        </control>
      </mc:Choice>
    </mc:AlternateContent>
    <mc:AlternateContent xmlns:mc="http://schemas.openxmlformats.org/markup-compatibility/2006">
      <mc:Choice Requires="x14">
        <control shapeId="2073" r:id="rId29" name="Drop Down 25">
          <controlPr locked="0" defaultSize="0" autoLine="0" autoPict="0">
            <anchor moveWithCells="1">
              <from>
                <xdr:col>7</xdr:col>
                <xdr:colOff>114300</xdr:colOff>
                <xdr:row>15</xdr:row>
                <xdr:rowOff>180975</xdr:rowOff>
              </from>
              <to>
                <xdr:col>7</xdr:col>
                <xdr:colOff>533400</xdr:colOff>
                <xdr:row>17</xdr:row>
                <xdr:rowOff>0</xdr:rowOff>
              </to>
            </anchor>
          </controlPr>
        </control>
      </mc:Choice>
    </mc:AlternateContent>
    <mc:AlternateContent xmlns:mc="http://schemas.openxmlformats.org/markup-compatibility/2006">
      <mc:Choice Requires="x14">
        <control shapeId="2074" r:id="rId30" name="Drop Down 26">
          <controlPr locked="0" defaultSize="0" autoLine="0" autoPict="0">
            <anchor moveWithCells="1">
              <from>
                <xdr:col>7</xdr:col>
                <xdr:colOff>114300</xdr:colOff>
                <xdr:row>17</xdr:row>
                <xdr:rowOff>180975</xdr:rowOff>
              </from>
              <to>
                <xdr:col>7</xdr:col>
                <xdr:colOff>533400</xdr:colOff>
                <xdr:row>19</xdr:row>
                <xdr:rowOff>0</xdr:rowOff>
              </to>
            </anchor>
          </controlPr>
        </control>
      </mc:Choice>
    </mc:AlternateContent>
    <mc:AlternateContent xmlns:mc="http://schemas.openxmlformats.org/markup-compatibility/2006">
      <mc:Choice Requires="x14">
        <control shapeId="2075" r:id="rId31" name="Drop Down 27">
          <controlPr locked="0" defaultSize="0" autoLine="0" autoPict="0">
            <anchor moveWithCells="1">
              <from>
                <xdr:col>7</xdr:col>
                <xdr:colOff>114300</xdr:colOff>
                <xdr:row>19</xdr:row>
                <xdr:rowOff>190500</xdr:rowOff>
              </from>
              <to>
                <xdr:col>7</xdr:col>
                <xdr:colOff>533400</xdr:colOff>
                <xdr:row>21</xdr:row>
                <xdr:rowOff>9525</xdr:rowOff>
              </to>
            </anchor>
          </controlPr>
        </control>
      </mc:Choice>
    </mc:AlternateContent>
    <mc:AlternateContent xmlns:mc="http://schemas.openxmlformats.org/markup-compatibility/2006">
      <mc:Choice Requires="x14">
        <control shapeId="2078" r:id="rId32" name="Group Box 30">
          <controlPr defaultSize="0" autoFill="0" autoPict="0">
            <anchor moveWithCells="1">
              <from>
                <xdr:col>17</xdr:col>
                <xdr:colOff>0</xdr:colOff>
                <xdr:row>35</xdr:row>
                <xdr:rowOff>9525</xdr:rowOff>
              </from>
              <to>
                <xdr:col>23</xdr:col>
                <xdr:colOff>152400</xdr:colOff>
                <xdr:row>38</xdr:row>
                <xdr:rowOff>161925</xdr:rowOff>
              </to>
            </anchor>
          </controlPr>
        </control>
      </mc:Choice>
    </mc:AlternateContent>
    <mc:AlternateContent xmlns:mc="http://schemas.openxmlformats.org/markup-compatibility/2006">
      <mc:Choice Requires="x14">
        <control shapeId="2127" r:id="rId33" name="Drop Down 79">
          <controlPr locked="0" defaultSize="0" autoLine="0" autoPict="0">
            <anchor moveWithCells="1">
              <from>
                <xdr:col>7</xdr:col>
                <xdr:colOff>114300</xdr:colOff>
                <xdr:row>23</xdr:row>
                <xdr:rowOff>171450</xdr:rowOff>
              </from>
              <to>
                <xdr:col>7</xdr:col>
                <xdr:colOff>533400</xdr:colOff>
                <xdr:row>25</xdr:row>
                <xdr:rowOff>0</xdr:rowOff>
              </to>
            </anchor>
          </controlPr>
        </control>
      </mc:Choice>
    </mc:AlternateContent>
    <mc:AlternateContent xmlns:mc="http://schemas.openxmlformats.org/markup-compatibility/2006">
      <mc:Choice Requires="x14">
        <control shapeId="2133" r:id="rId34" name="Drop Down 85">
          <controlPr locked="0" defaultSize="0" autoLine="0" autoPict="0">
            <anchor moveWithCells="1">
              <from>
                <xdr:col>7</xdr:col>
                <xdr:colOff>114300</xdr:colOff>
                <xdr:row>25</xdr:row>
                <xdr:rowOff>171450</xdr:rowOff>
              </from>
              <to>
                <xdr:col>7</xdr:col>
                <xdr:colOff>533400</xdr:colOff>
                <xdr:row>27</xdr:row>
                <xdr:rowOff>0</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42"/>
  </sheetPr>
  <dimension ref="A1:R107"/>
  <sheetViews>
    <sheetView zoomScale="85" zoomScaleNormal="100" workbookViewId="0">
      <pane xSplit="1" ySplit="5" topLeftCell="D48" activePane="bottomRight" state="frozen"/>
      <selection pane="topRight" activeCell="B1" sqref="B1"/>
      <selection pane="bottomLeft" activeCell="A6" sqref="A6"/>
      <selection pane="bottomRight" activeCell="L89" sqref="L89"/>
    </sheetView>
  </sheetViews>
  <sheetFormatPr defaultRowHeight="12.75" x14ac:dyDescent="0.2"/>
  <cols>
    <col min="1" max="1" width="48.5703125" style="1" customWidth="1"/>
    <col min="2" max="2" width="17.7109375" style="169" bestFit="1" customWidth="1"/>
    <col min="3" max="3" width="17.5703125" style="169" customWidth="1"/>
    <col min="4" max="4" width="10.7109375" style="169" customWidth="1"/>
    <col min="5" max="5" width="13.7109375" style="169" customWidth="1"/>
    <col min="6" max="6" width="24" style="170" customWidth="1"/>
    <col min="7" max="7" width="10.42578125" style="322" customWidth="1"/>
    <col min="8" max="8" width="11.85546875" style="322" customWidth="1"/>
    <col min="9" max="9" width="13.28515625" style="189" customWidth="1"/>
    <col min="10" max="10" width="15.85546875" style="169" customWidth="1"/>
    <col min="11" max="11" width="2" style="1" customWidth="1"/>
    <col min="12" max="12" width="13.85546875" style="1" customWidth="1"/>
    <col min="13" max="13" width="15.85546875" style="1" customWidth="1"/>
    <col min="14" max="14" width="19.7109375" style="1" customWidth="1"/>
    <col min="15" max="16" width="11.28515625" style="1" hidden="1" customWidth="1"/>
    <col min="17" max="17" width="0" style="1" hidden="1" customWidth="1"/>
    <col min="18" max="16384" width="9.140625" style="1"/>
  </cols>
  <sheetData>
    <row r="1" spans="1:18" ht="15.75" thickBot="1" x14ac:dyDescent="0.25">
      <c r="A1" s="190"/>
      <c r="B1" s="191"/>
      <c r="C1" s="191"/>
      <c r="D1" s="192"/>
      <c r="E1" s="192"/>
      <c r="F1" s="193"/>
      <c r="G1" s="344" t="s">
        <v>313</v>
      </c>
      <c r="H1" s="345"/>
      <c r="I1" s="346">
        <f>IF(chkpostint=FALSE,SUM(sumcrimeasb,sumeducation,sumhealthcare,sumhousing,sumdrugs,sumsocialcare,sumextralines),SUM(sumcrimeasb_actual,sumeducation_actual,sumhealthcare_actual,sumhousing_actual,sumdrugs_actual,sumsocialcare_actual,sumextralines_actual))</f>
        <v>0</v>
      </c>
      <c r="J1" s="347"/>
      <c r="K1" s="196" t="b">
        <f>IF(COUNTIF(L:L,"&gt;0"),TRUE,FALSE)</f>
        <v>0</v>
      </c>
      <c r="L1" s="160"/>
      <c r="M1" s="160"/>
    </row>
    <row r="2" spans="1:18" ht="13.5" thickBot="1" x14ac:dyDescent="0.25">
      <c r="A2" s="191"/>
      <c r="B2" s="192"/>
      <c r="C2" s="192"/>
      <c r="D2" s="192"/>
      <c r="E2" s="192"/>
      <c r="F2" s="193"/>
      <c r="G2" s="194"/>
      <c r="H2" s="194"/>
      <c r="I2" s="192"/>
      <c r="J2" s="192"/>
      <c r="K2" s="191"/>
      <c r="L2" s="191"/>
      <c r="M2" s="191"/>
    </row>
    <row r="3" spans="1:18" ht="21" thickBot="1" x14ac:dyDescent="0.35">
      <c r="A3" s="191"/>
      <c r="B3" s="192"/>
      <c r="C3" s="195"/>
      <c r="D3" s="195"/>
      <c r="E3" s="192"/>
      <c r="F3" s="193"/>
      <c r="G3" s="348" t="s">
        <v>70</v>
      </c>
      <c r="H3" s="348"/>
      <c r="I3" s="198" t="s">
        <v>345</v>
      </c>
      <c r="J3" s="197"/>
      <c r="K3" s="191"/>
      <c r="L3" s="191"/>
      <c r="M3" s="191"/>
    </row>
    <row r="4" spans="1:18" ht="56.25" customHeight="1" thickBot="1" x14ac:dyDescent="0.35">
      <c r="A4" s="191"/>
      <c r="B4" s="192"/>
      <c r="C4" s="195"/>
      <c r="D4" s="192"/>
      <c r="E4" s="195" t="s">
        <v>211</v>
      </c>
      <c r="F4" s="193"/>
      <c r="G4" s="194"/>
      <c r="H4" s="194"/>
      <c r="I4" s="192"/>
      <c r="J4" s="192"/>
      <c r="K4" s="191"/>
      <c r="L4" s="191"/>
      <c r="M4" s="191"/>
    </row>
    <row r="5" spans="1:18" ht="54.75" customHeight="1" thickBot="1" x14ac:dyDescent="0.25">
      <c r="A5" s="199"/>
      <c r="B5" s="200" t="s">
        <v>0</v>
      </c>
      <c r="C5" s="200" t="s">
        <v>1</v>
      </c>
      <c r="D5" s="200"/>
      <c r="E5" s="200" t="s">
        <v>69</v>
      </c>
      <c r="F5" s="200" t="s">
        <v>2</v>
      </c>
      <c r="G5" s="300" t="s">
        <v>314</v>
      </c>
      <c r="H5" s="300" t="s">
        <v>98</v>
      </c>
      <c r="I5" s="200" t="s">
        <v>156</v>
      </c>
      <c r="J5" s="200" t="s">
        <v>67</v>
      </c>
      <c r="K5" s="249"/>
      <c r="L5" s="200" t="s">
        <v>157</v>
      </c>
      <c r="M5" s="200" t="s">
        <v>158</v>
      </c>
      <c r="Q5" s="305"/>
      <c r="R5" s="305"/>
    </row>
    <row r="6" spans="1:18" ht="18.75" thickBot="1" x14ac:dyDescent="0.25">
      <c r="A6" s="296" t="s">
        <v>3</v>
      </c>
      <c r="B6" s="297"/>
      <c r="C6" s="297"/>
      <c r="D6" s="297"/>
      <c r="E6" s="297"/>
      <c r="F6" s="297"/>
      <c r="G6" s="201"/>
      <c r="H6" s="201"/>
      <c r="I6" s="202"/>
      <c r="J6" s="203"/>
      <c r="K6" s="4"/>
    </row>
    <row r="7" spans="1:18" ht="13.5" thickBot="1" x14ac:dyDescent="0.25">
      <c r="A7" s="204" t="s">
        <v>4</v>
      </c>
      <c r="B7" s="205" t="s">
        <v>5</v>
      </c>
      <c r="C7" s="206">
        <v>5699</v>
      </c>
      <c r="D7" s="207">
        <f>C7</f>
        <v>5699</v>
      </c>
      <c r="E7" s="208"/>
      <c r="F7" s="209" t="s">
        <v>271</v>
      </c>
      <c r="G7" s="210">
        <f t="shared" ref="G7:G25" si="0">IF(L7&gt;0,IF(I7&gt;0,(I7-L7)/I7,0),IF(L7="",0,IF(I7&gt;0,I7/I7,0)))</f>
        <v>0</v>
      </c>
      <c r="H7" s="211"/>
      <c r="I7" s="212"/>
      <c r="J7" s="213" t="str">
        <f t="shared" ref="J7:J25" si="1">IF(AND(ISNUMBER(L7),OR(L7&lt;&gt;0,L7&lt;&gt;"")),IF(AND(ISNUMBER(I7),OR(I7&lt;&gt;0,I7&lt;&gt;"")),IF(E7&gt;0,E7*G7*I7,I7*D7*G7),""),IF(AND(ISNUMBER(I7),OR(I7&lt;&gt;0,I7&lt;&gt;"")),IF(E7&gt;0,IF(H7&gt;0,E7*H7*I7,E7*G7*I7),IF(H7&gt;0,I7*D7*H7,I7*D7*G7)),""))</f>
        <v/>
      </c>
      <c r="K7" s="4"/>
      <c r="L7" s="212"/>
      <c r="M7" s="213" t="str">
        <f t="shared" ref="M7:M25" si="2">IF(OR(I7&gt;0,L7&gt;0),IF(E7&gt;0,(I7-L7)*E7,(I7-L7)*D7),"")</f>
        <v/>
      </c>
      <c r="O7" s="172">
        <f t="shared" ref="O7:O25" si="3">IF(E7&gt;0,I7*E7,I7*D7)</f>
        <v>0</v>
      </c>
      <c r="P7" s="172">
        <f t="shared" ref="P7:P25" si="4">IF(E7&gt;0,L7*E7,L7*D7)</f>
        <v>0</v>
      </c>
    </row>
    <row r="8" spans="1:18" ht="13.5" thickBot="1" x14ac:dyDescent="0.25">
      <c r="A8" s="214" t="s">
        <v>6</v>
      </c>
      <c r="B8" s="205" t="s">
        <v>7</v>
      </c>
      <c r="C8" s="206">
        <v>330</v>
      </c>
      <c r="D8" s="207">
        <f>C8</f>
        <v>330</v>
      </c>
      <c r="E8" s="208"/>
      <c r="F8" s="209" t="s">
        <v>272</v>
      </c>
      <c r="G8" s="210">
        <f t="shared" si="0"/>
        <v>0</v>
      </c>
      <c r="H8" s="211"/>
      <c r="I8" s="212"/>
      <c r="J8" s="213" t="str">
        <f t="shared" si="1"/>
        <v/>
      </c>
      <c r="K8" s="4"/>
      <c r="L8" s="212"/>
      <c r="M8" s="213" t="str">
        <f t="shared" si="2"/>
        <v/>
      </c>
      <c r="O8" s="172">
        <f t="shared" si="3"/>
        <v>0</v>
      </c>
      <c r="P8" s="172">
        <f t="shared" si="4"/>
        <v>0</v>
      </c>
    </row>
    <row r="9" spans="1:18" ht="13.5" thickBot="1" x14ac:dyDescent="0.25">
      <c r="A9" s="204" t="s">
        <v>8</v>
      </c>
      <c r="B9" s="205" t="s">
        <v>7</v>
      </c>
      <c r="C9" s="206">
        <v>2293</v>
      </c>
      <c r="D9" s="207">
        <f>C9</f>
        <v>2293</v>
      </c>
      <c r="E9" s="208"/>
      <c r="F9" s="209" t="s">
        <v>273</v>
      </c>
      <c r="G9" s="210">
        <f t="shared" si="0"/>
        <v>0</v>
      </c>
      <c r="H9" s="211"/>
      <c r="I9" s="212"/>
      <c r="J9" s="213" t="str">
        <f t="shared" si="1"/>
        <v/>
      </c>
      <c r="K9" s="4"/>
      <c r="L9" s="212"/>
      <c r="M9" s="213" t="str">
        <f t="shared" si="2"/>
        <v/>
      </c>
      <c r="O9" s="172">
        <f t="shared" si="3"/>
        <v>0</v>
      </c>
      <c r="P9" s="172">
        <f t="shared" si="4"/>
        <v>0</v>
      </c>
    </row>
    <row r="10" spans="1:18" ht="13.5" thickBot="1" x14ac:dyDescent="0.25">
      <c r="A10" s="215" t="s">
        <v>136</v>
      </c>
      <c r="B10" s="205" t="s">
        <v>5</v>
      </c>
      <c r="C10" s="206" t="s">
        <v>274</v>
      </c>
      <c r="D10" s="206">
        <v>33</v>
      </c>
      <c r="E10" s="208"/>
      <c r="F10" s="209" t="s">
        <v>275</v>
      </c>
      <c r="G10" s="210">
        <f t="shared" si="0"/>
        <v>0</v>
      </c>
      <c r="H10" s="211"/>
      <c r="I10" s="212"/>
      <c r="J10" s="213" t="str">
        <f t="shared" si="1"/>
        <v/>
      </c>
      <c r="K10" s="4"/>
      <c r="L10" s="212"/>
      <c r="M10" s="213" t="str">
        <f t="shared" si="2"/>
        <v/>
      </c>
      <c r="O10" s="172">
        <f t="shared" si="3"/>
        <v>0</v>
      </c>
      <c r="P10" s="172">
        <f t="shared" si="4"/>
        <v>0</v>
      </c>
    </row>
    <row r="11" spans="1:18" ht="13.5" thickBot="1" x14ac:dyDescent="0.25">
      <c r="A11" s="215" t="s">
        <v>159</v>
      </c>
      <c r="B11" s="205" t="s">
        <v>7</v>
      </c>
      <c r="C11" s="206">
        <v>876</v>
      </c>
      <c r="D11" s="207">
        <f t="shared" ref="D11:D25" si="5">C11</f>
        <v>876</v>
      </c>
      <c r="E11" s="208"/>
      <c r="F11" s="209" t="s">
        <v>276</v>
      </c>
      <c r="G11" s="210">
        <f t="shared" si="0"/>
        <v>0</v>
      </c>
      <c r="H11" s="211"/>
      <c r="I11" s="212"/>
      <c r="J11" s="213" t="str">
        <f t="shared" si="1"/>
        <v/>
      </c>
      <c r="K11" s="4"/>
      <c r="L11" s="212"/>
      <c r="M11" s="213" t="str">
        <f t="shared" si="2"/>
        <v/>
      </c>
      <c r="O11" s="172">
        <f t="shared" si="3"/>
        <v>0</v>
      </c>
      <c r="P11" s="172">
        <f t="shared" si="4"/>
        <v>0</v>
      </c>
    </row>
    <row r="12" spans="1:18" ht="13.5" thickBot="1" x14ac:dyDescent="0.25">
      <c r="A12" s="204" t="s">
        <v>11</v>
      </c>
      <c r="B12" s="205" t="s">
        <v>12</v>
      </c>
      <c r="C12" s="206">
        <v>2387</v>
      </c>
      <c r="D12" s="207">
        <f t="shared" si="5"/>
        <v>2387</v>
      </c>
      <c r="E12" s="208"/>
      <c r="F12" s="209" t="s">
        <v>277</v>
      </c>
      <c r="G12" s="210">
        <f t="shared" si="0"/>
        <v>0</v>
      </c>
      <c r="H12" s="211"/>
      <c r="I12" s="212"/>
      <c r="J12" s="213" t="str">
        <f t="shared" si="1"/>
        <v/>
      </c>
      <c r="K12" s="4"/>
      <c r="L12" s="212"/>
      <c r="M12" s="213" t="str">
        <f t="shared" si="2"/>
        <v/>
      </c>
      <c r="O12" s="172">
        <f t="shared" si="3"/>
        <v>0</v>
      </c>
      <c r="P12" s="172">
        <f t="shared" si="4"/>
        <v>0</v>
      </c>
    </row>
    <row r="13" spans="1:18" ht="13.5" thickBot="1" x14ac:dyDescent="0.25">
      <c r="A13" s="204" t="s">
        <v>213</v>
      </c>
      <c r="B13" s="205" t="s">
        <v>7</v>
      </c>
      <c r="C13" s="206">
        <v>114</v>
      </c>
      <c r="D13" s="207">
        <f t="shared" si="5"/>
        <v>114</v>
      </c>
      <c r="E13" s="208"/>
      <c r="F13" s="209" t="s">
        <v>278</v>
      </c>
      <c r="G13" s="210">
        <f t="shared" si="0"/>
        <v>0</v>
      </c>
      <c r="H13" s="211"/>
      <c r="I13" s="212"/>
      <c r="J13" s="213" t="str">
        <f t="shared" si="1"/>
        <v/>
      </c>
      <c r="K13" s="4"/>
      <c r="L13" s="212"/>
      <c r="M13" s="213" t="str">
        <f t="shared" si="2"/>
        <v/>
      </c>
      <c r="O13" s="172">
        <f t="shared" si="3"/>
        <v>0</v>
      </c>
      <c r="P13" s="172">
        <f t="shared" si="4"/>
        <v>0</v>
      </c>
    </row>
    <row r="14" spans="1:18" ht="13.5" thickBot="1" x14ac:dyDescent="0.25">
      <c r="A14" s="204" t="s">
        <v>94</v>
      </c>
      <c r="B14" s="205" t="s">
        <v>7</v>
      </c>
      <c r="C14" s="206">
        <v>73</v>
      </c>
      <c r="D14" s="207">
        <f t="shared" si="5"/>
        <v>73</v>
      </c>
      <c r="E14" s="208"/>
      <c r="F14" s="209" t="s">
        <v>279</v>
      </c>
      <c r="G14" s="210">
        <f t="shared" si="0"/>
        <v>0</v>
      </c>
      <c r="H14" s="211"/>
      <c r="I14" s="212"/>
      <c r="J14" s="213" t="str">
        <f t="shared" si="1"/>
        <v/>
      </c>
      <c r="K14" s="4"/>
      <c r="L14" s="212"/>
      <c r="M14" s="213" t="str">
        <f t="shared" si="2"/>
        <v/>
      </c>
      <c r="O14" s="172">
        <f t="shared" si="3"/>
        <v>0</v>
      </c>
      <c r="P14" s="172">
        <f t="shared" si="4"/>
        <v>0</v>
      </c>
    </row>
    <row r="15" spans="1:18" ht="13.5" thickBot="1" x14ac:dyDescent="0.25">
      <c r="A15" s="204" t="s">
        <v>95</v>
      </c>
      <c r="B15" s="205" t="s">
        <v>14</v>
      </c>
      <c r="C15" s="206">
        <v>255</v>
      </c>
      <c r="D15" s="207">
        <f t="shared" si="5"/>
        <v>255</v>
      </c>
      <c r="E15" s="208"/>
      <c r="F15" s="209" t="s">
        <v>279</v>
      </c>
      <c r="G15" s="210">
        <f t="shared" si="0"/>
        <v>0</v>
      </c>
      <c r="H15" s="211"/>
      <c r="I15" s="212"/>
      <c r="J15" s="213" t="str">
        <f t="shared" si="1"/>
        <v/>
      </c>
      <c r="K15" s="4"/>
      <c r="L15" s="212"/>
      <c r="M15" s="213" t="str">
        <f t="shared" si="2"/>
        <v/>
      </c>
      <c r="O15" s="172">
        <f t="shared" si="3"/>
        <v>0</v>
      </c>
      <c r="P15" s="172">
        <f t="shared" si="4"/>
        <v>0</v>
      </c>
    </row>
    <row r="16" spans="1:18" ht="13.5" thickBot="1" x14ac:dyDescent="0.25">
      <c r="A16" s="204" t="s">
        <v>15</v>
      </c>
      <c r="B16" s="205" t="s">
        <v>14</v>
      </c>
      <c r="C16" s="206">
        <v>901</v>
      </c>
      <c r="D16" s="207">
        <f t="shared" si="5"/>
        <v>901</v>
      </c>
      <c r="E16" s="208"/>
      <c r="F16" s="209" t="s">
        <v>280</v>
      </c>
      <c r="G16" s="210">
        <f t="shared" si="0"/>
        <v>0</v>
      </c>
      <c r="H16" s="211"/>
      <c r="I16" s="212"/>
      <c r="J16" s="213" t="str">
        <f t="shared" si="1"/>
        <v/>
      </c>
      <c r="K16" s="4"/>
      <c r="L16" s="212"/>
      <c r="M16" s="213" t="str">
        <f t="shared" si="2"/>
        <v/>
      </c>
      <c r="O16" s="172">
        <f t="shared" si="3"/>
        <v>0</v>
      </c>
      <c r="P16" s="172">
        <f t="shared" si="4"/>
        <v>0</v>
      </c>
    </row>
    <row r="17" spans="1:16" ht="26.25" thickBot="1" x14ac:dyDescent="0.25">
      <c r="A17" s="215" t="s">
        <v>99</v>
      </c>
      <c r="B17" s="205" t="s">
        <v>14</v>
      </c>
      <c r="C17" s="206">
        <v>37095</v>
      </c>
      <c r="D17" s="207">
        <f t="shared" si="5"/>
        <v>37095</v>
      </c>
      <c r="E17" s="208"/>
      <c r="F17" s="209" t="s">
        <v>281</v>
      </c>
      <c r="G17" s="210">
        <f t="shared" si="0"/>
        <v>0</v>
      </c>
      <c r="H17" s="211"/>
      <c r="I17" s="212"/>
      <c r="J17" s="213" t="str">
        <f t="shared" si="1"/>
        <v/>
      </c>
      <c r="K17" s="4"/>
      <c r="L17" s="212"/>
      <c r="M17" s="213" t="str">
        <f t="shared" si="2"/>
        <v/>
      </c>
      <c r="O17" s="172">
        <f t="shared" si="3"/>
        <v>0</v>
      </c>
      <c r="P17" s="172">
        <f t="shared" si="4"/>
        <v>0</v>
      </c>
    </row>
    <row r="18" spans="1:16" ht="13.5" thickBot="1" x14ac:dyDescent="0.25">
      <c r="A18" s="204" t="s">
        <v>16</v>
      </c>
      <c r="B18" s="205" t="s">
        <v>14</v>
      </c>
      <c r="C18" s="206">
        <v>2144</v>
      </c>
      <c r="D18" s="207">
        <f t="shared" si="5"/>
        <v>2144</v>
      </c>
      <c r="E18" s="208"/>
      <c r="F18" s="209" t="s">
        <v>282</v>
      </c>
      <c r="G18" s="210">
        <f t="shared" si="0"/>
        <v>0</v>
      </c>
      <c r="H18" s="211"/>
      <c r="I18" s="212"/>
      <c r="J18" s="213" t="str">
        <f t="shared" si="1"/>
        <v/>
      </c>
      <c r="K18" s="4"/>
      <c r="L18" s="212"/>
      <c r="M18" s="213" t="str">
        <f t="shared" si="2"/>
        <v/>
      </c>
      <c r="O18" s="172">
        <f t="shared" si="3"/>
        <v>0</v>
      </c>
      <c r="P18" s="172">
        <f t="shared" si="4"/>
        <v>0</v>
      </c>
    </row>
    <row r="19" spans="1:16" ht="13.5" thickBot="1" x14ac:dyDescent="0.25">
      <c r="A19" s="204" t="s">
        <v>17</v>
      </c>
      <c r="B19" s="205" t="s">
        <v>14</v>
      </c>
      <c r="C19" s="206">
        <v>1326</v>
      </c>
      <c r="D19" s="207">
        <f t="shared" si="5"/>
        <v>1326</v>
      </c>
      <c r="E19" s="208"/>
      <c r="F19" s="209" t="s">
        <v>283</v>
      </c>
      <c r="G19" s="210">
        <f t="shared" si="0"/>
        <v>0</v>
      </c>
      <c r="H19" s="211"/>
      <c r="I19" s="212"/>
      <c r="J19" s="213" t="str">
        <f t="shared" si="1"/>
        <v/>
      </c>
      <c r="K19" s="4"/>
      <c r="L19" s="212"/>
      <c r="M19" s="213" t="str">
        <f t="shared" si="2"/>
        <v/>
      </c>
      <c r="O19" s="172">
        <f t="shared" si="3"/>
        <v>0</v>
      </c>
      <c r="P19" s="172">
        <f t="shared" si="4"/>
        <v>0</v>
      </c>
    </row>
    <row r="20" spans="1:16" ht="13.5" thickBot="1" x14ac:dyDescent="0.25">
      <c r="A20" s="204" t="s">
        <v>18</v>
      </c>
      <c r="B20" s="205" t="s">
        <v>14</v>
      </c>
      <c r="C20" s="206">
        <v>4631</v>
      </c>
      <c r="D20" s="207">
        <f t="shared" si="5"/>
        <v>4631</v>
      </c>
      <c r="E20" s="208"/>
      <c r="F20" s="209" t="s">
        <v>284</v>
      </c>
      <c r="G20" s="210">
        <f t="shared" si="0"/>
        <v>0</v>
      </c>
      <c r="H20" s="211"/>
      <c r="I20" s="212"/>
      <c r="J20" s="213" t="str">
        <f t="shared" si="1"/>
        <v/>
      </c>
      <c r="K20" s="4"/>
      <c r="L20" s="212"/>
      <c r="M20" s="213" t="str">
        <f t="shared" si="2"/>
        <v/>
      </c>
      <c r="O20" s="172">
        <f t="shared" si="3"/>
        <v>0</v>
      </c>
      <c r="P20" s="172">
        <f t="shared" si="4"/>
        <v>0</v>
      </c>
    </row>
    <row r="21" spans="1:16" ht="13.5" thickBot="1" x14ac:dyDescent="0.25">
      <c r="A21" s="204" t="s">
        <v>19</v>
      </c>
      <c r="B21" s="205" t="s">
        <v>5</v>
      </c>
      <c r="C21" s="206">
        <v>3432</v>
      </c>
      <c r="D21" s="207">
        <f t="shared" si="5"/>
        <v>3432</v>
      </c>
      <c r="E21" s="208"/>
      <c r="F21" s="209" t="s">
        <v>279</v>
      </c>
      <c r="G21" s="210">
        <f t="shared" si="0"/>
        <v>0</v>
      </c>
      <c r="H21" s="211"/>
      <c r="I21" s="212"/>
      <c r="J21" s="213" t="str">
        <f t="shared" si="1"/>
        <v/>
      </c>
      <c r="K21" s="4"/>
      <c r="L21" s="212"/>
      <c r="M21" s="213" t="str">
        <f t="shared" si="2"/>
        <v/>
      </c>
      <c r="O21" s="172">
        <f t="shared" si="3"/>
        <v>0</v>
      </c>
      <c r="P21" s="172">
        <f t="shared" si="4"/>
        <v>0</v>
      </c>
    </row>
    <row r="22" spans="1:16" ht="13.5" thickBot="1" x14ac:dyDescent="0.25">
      <c r="A22" s="216" t="s">
        <v>20</v>
      </c>
      <c r="B22" s="205" t="s">
        <v>5</v>
      </c>
      <c r="C22" s="206">
        <v>2500</v>
      </c>
      <c r="D22" s="207">
        <f t="shared" si="5"/>
        <v>2500</v>
      </c>
      <c r="E22" s="208"/>
      <c r="F22" s="209" t="s">
        <v>285</v>
      </c>
      <c r="G22" s="210">
        <f t="shared" si="0"/>
        <v>0</v>
      </c>
      <c r="H22" s="217"/>
      <c r="I22" s="212"/>
      <c r="J22" s="213" t="str">
        <f t="shared" si="1"/>
        <v/>
      </c>
      <c r="K22" s="4"/>
      <c r="L22" s="212"/>
      <c r="M22" s="213" t="str">
        <f t="shared" si="2"/>
        <v/>
      </c>
      <c r="O22" s="172">
        <f t="shared" si="3"/>
        <v>0</v>
      </c>
      <c r="P22" s="172">
        <f t="shared" si="4"/>
        <v>0</v>
      </c>
    </row>
    <row r="23" spans="1:16" ht="13.5" thickBot="1" x14ac:dyDescent="0.25">
      <c r="A23" s="216" t="s">
        <v>97</v>
      </c>
      <c r="B23" s="205" t="s">
        <v>21</v>
      </c>
      <c r="C23" s="206">
        <v>1377</v>
      </c>
      <c r="D23" s="207">
        <f t="shared" si="5"/>
        <v>1377</v>
      </c>
      <c r="E23" s="208"/>
      <c r="F23" s="209" t="s">
        <v>286</v>
      </c>
      <c r="G23" s="210">
        <f t="shared" si="0"/>
        <v>0</v>
      </c>
      <c r="H23" s="211"/>
      <c r="I23" s="212"/>
      <c r="J23" s="213" t="str">
        <f t="shared" si="1"/>
        <v/>
      </c>
      <c r="K23" s="4"/>
      <c r="L23" s="212"/>
      <c r="M23" s="213" t="str">
        <f t="shared" si="2"/>
        <v/>
      </c>
      <c r="O23" s="172">
        <f t="shared" si="3"/>
        <v>0</v>
      </c>
      <c r="P23" s="172">
        <f t="shared" si="4"/>
        <v>0</v>
      </c>
    </row>
    <row r="24" spans="1:16" ht="13.5" thickBot="1" x14ac:dyDescent="0.25">
      <c r="A24" s="204" t="s">
        <v>96</v>
      </c>
      <c r="B24" s="205" t="s">
        <v>21</v>
      </c>
      <c r="C24" s="206">
        <v>2043</v>
      </c>
      <c r="D24" s="207">
        <f t="shared" si="5"/>
        <v>2043</v>
      </c>
      <c r="E24" s="208"/>
      <c r="F24" s="209" t="s">
        <v>286</v>
      </c>
      <c r="G24" s="210">
        <f t="shared" si="0"/>
        <v>0</v>
      </c>
      <c r="H24" s="211"/>
      <c r="I24" s="212"/>
      <c r="J24" s="213" t="str">
        <f t="shared" si="1"/>
        <v/>
      </c>
      <c r="K24" s="4"/>
      <c r="L24" s="212"/>
      <c r="M24" s="213" t="str">
        <f t="shared" si="2"/>
        <v/>
      </c>
      <c r="O24" s="172">
        <f t="shared" si="3"/>
        <v>0</v>
      </c>
      <c r="P24" s="172">
        <f t="shared" si="4"/>
        <v>0</v>
      </c>
    </row>
    <row r="25" spans="1:16" ht="13.5" thickBot="1" x14ac:dyDescent="0.25">
      <c r="A25" s="204" t="s">
        <v>22</v>
      </c>
      <c r="B25" s="205" t="s">
        <v>21</v>
      </c>
      <c r="C25" s="218">
        <v>112.32</v>
      </c>
      <c r="D25" s="207">
        <f t="shared" si="5"/>
        <v>112.32</v>
      </c>
      <c r="E25" s="208"/>
      <c r="F25" s="219" t="s">
        <v>287</v>
      </c>
      <c r="G25" s="210">
        <f t="shared" si="0"/>
        <v>0</v>
      </c>
      <c r="H25" s="211"/>
      <c r="I25" s="212"/>
      <c r="J25" s="213" t="str">
        <f t="shared" si="1"/>
        <v/>
      </c>
      <c r="K25" s="4"/>
      <c r="L25" s="212"/>
      <c r="M25" s="213" t="str">
        <f t="shared" si="2"/>
        <v/>
      </c>
      <c r="O25" s="172">
        <f t="shared" si="3"/>
        <v>0</v>
      </c>
      <c r="P25" s="172">
        <f t="shared" si="4"/>
        <v>0</v>
      </c>
    </row>
    <row r="26" spans="1:16" ht="13.5" thickBot="1" x14ac:dyDescent="0.25">
      <c r="A26" s="178"/>
      <c r="B26" s="179"/>
      <c r="C26" s="177"/>
      <c r="D26" s="177"/>
      <c r="E26" s="177"/>
      <c r="H26" s="251" t="s">
        <v>68</v>
      </c>
      <c r="I26" s="349">
        <f>SUM(J7:J25)+SUMIF($Q$97:$Q$106,1,$J$97:$J$106)</f>
        <v>0</v>
      </c>
      <c r="J26" s="350"/>
      <c r="K26" s="250"/>
      <c r="L26" s="251"/>
      <c r="M26" s="252">
        <f>SUM(M7:M25)+SUMIF($Q$97:$Q$106,1,$M$97:$M$106)</f>
        <v>0</v>
      </c>
    </row>
    <row r="27" spans="1:16" ht="18.75" thickBot="1" x14ac:dyDescent="0.25">
      <c r="A27" s="298" t="s">
        <v>23</v>
      </c>
      <c r="B27" s="299"/>
      <c r="C27" s="299"/>
      <c r="D27" s="299"/>
      <c r="E27" s="299"/>
      <c r="F27" s="299"/>
      <c r="G27" s="201"/>
      <c r="H27" s="201"/>
      <c r="I27" s="202"/>
      <c r="J27" s="220" t="str">
        <f>IF(AND(ISNUMBER(I27),OR(I27&lt;&gt;0,I27&lt;&gt;"")),I27*C27,"")</f>
        <v/>
      </c>
      <c r="K27" s="4"/>
    </row>
    <row r="28" spans="1:16" ht="13.5" thickBot="1" x14ac:dyDescent="0.25">
      <c r="A28" s="215" t="s">
        <v>343</v>
      </c>
      <c r="B28" s="205" t="s">
        <v>24</v>
      </c>
      <c r="C28" s="237" t="s">
        <v>335</v>
      </c>
      <c r="D28" s="238">
        <v>1854</v>
      </c>
      <c r="E28" s="208"/>
      <c r="F28" s="209" t="s">
        <v>334</v>
      </c>
      <c r="G28" s="210">
        <f t="shared" ref="G28:G35" si="6">IF(L28&gt;0,IF(I28&gt;0,(I28-L28)/I28,0),IF(L28="",0,IF(I28&gt;0,I28/I28,0)))</f>
        <v>0</v>
      </c>
      <c r="H28" s="217"/>
      <c r="I28" s="212"/>
      <c r="J28" s="213" t="str">
        <f>IF(AND(ISNUMBER(L28),OR(L28&lt;&gt;0,L28&lt;&gt;"")),IF(AND(ISNUMBER(I28),OR(I28&lt;&gt;0,I28&lt;&gt;"")),IF(E28&gt;0,E28*G28*I28,I28*D28*G28),""),IF(AND(ISNUMBER(I28),OR(I28&lt;&gt;0,I28&lt;&gt;"")),IF(E28&gt;0,IF(H28&gt;0,E28*H28*I28,E28*G28*I28),IF(H28&gt;0,I28*D28*H28,I28*D28*G28)),""))</f>
        <v/>
      </c>
      <c r="K28" s="4"/>
      <c r="L28" s="212"/>
      <c r="M28" s="213" t="str">
        <f>IF(OR(I28&gt;0,L28&gt;0),IF(E28&gt;0,(I28-L28)*E28,(I28-L28)*D28),"")</f>
        <v/>
      </c>
      <c r="O28" s="172">
        <f>IF(E28&gt;0,I28*E28,I28*D28)</f>
        <v>0</v>
      </c>
      <c r="P28" s="172">
        <f>IF(E28&gt;0,L28*E28,L28*D28)</f>
        <v>0</v>
      </c>
    </row>
    <row r="29" spans="1:16" ht="26.25" thickBot="1" x14ac:dyDescent="0.25">
      <c r="A29" s="215" t="s">
        <v>85</v>
      </c>
      <c r="B29" s="205" t="s">
        <v>24</v>
      </c>
      <c r="C29" s="239" t="s">
        <v>214</v>
      </c>
      <c r="D29" s="238">
        <v>49</v>
      </c>
      <c r="E29" s="208"/>
      <c r="F29" s="209" t="s">
        <v>288</v>
      </c>
      <c r="G29" s="210">
        <f t="shared" si="6"/>
        <v>0</v>
      </c>
      <c r="H29" s="217"/>
      <c r="I29" s="212"/>
      <c r="J29" s="213" t="str">
        <f>IF(AND(ISNUMBER(L29),OR(L29&lt;&gt;0,L29&lt;&gt;"")),IF(AND(ISNUMBER(I29),OR(I29&lt;&gt;0,I29&lt;&gt;"")),IF(E29&gt;0,E29*G29*52/12*21,D29*G29*52/12*21),""),IF(AND(ISNUMBER(I29),OR(I29&lt;&gt;0,I29&lt;&gt;"")),IF(E29&gt;0,IF(H29&gt;0,E29*H29*52/12*21,E29*G29*52/12*21),IF(H29&gt;0,D29*H29*52/12*21,D29*G29*52/12*21)),""))</f>
        <v/>
      </c>
      <c r="K29" s="4"/>
      <c r="L29" s="212"/>
      <c r="M29" s="213" t="str">
        <f>IF(OR(I29&gt;0,L29&gt;0),IF(E29&gt;0,E29*(I29-L29)*52/12*21,D29*(I29-L29)*52/12*21),"")</f>
        <v/>
      </c>
      <c r="O29" s="172">
        <f>IF(I29&gt;0,IF(E29&gt;0,E29*52/12*21,D29*52/12*21),0)</f>
        <v>0</v>
      </c>
      <c r="P29" s="172">
        <f>IF(L29&gt;0,IF(E29&gt;0,E29*52/12*21,D29*52/12*21),0)</f>
        <v>0</v>
      </c>
    </row>
    <row r="30" spans="1:16" ht="26.25" thickBot="1" x14ac:dyDescent="0.25">
      <c r="A30" s="215" t="s">
        <v>86</v>
      </c>
      <c r="B30" s="205" t="s">
        <v>24</v>
      </c>
      <c r="C30" s="239" t="s">
        <v>215</v>
      </c>
      <c r="D30" s="238">
        <v>55</v>
      </c>
      <c r="E30" s="208"/>
      <c r="F30" s="209" t="s">
        <v>288</v>
      </c>
      <c r="G30" s="210">
        <f t="shared" si="6"/>
        <v>0</v>
      </c>
      <c r="H30" s="217"/>
      <c r="I30" s="212"/>
      <c r="J30" s="213" t="str">
        <f>IF(AND(ISNUMBER(L30),OR(L30&lt;&gt;0,L30&lt;&gt;"")),IF(AND(ISNUMBER(I30),OR(I30&lt;&gt;0,I30&lt;&gt;"")),IF(E30&gt;0,E30*G30*52/12*9,D30*G30*52/12*9),""),IF(AND(ISNUMBER(I30),OR(I30&lt;&gt;0,I30&lt;&gt;"")),IF(E30&gt;0,IF(H30&gt;0,E30*H30*52/12*9,E30*G30*52/12*9),IF(H30&gt;0,D30*H30*52/12*9,D30*G30*52/12*9)),""))</f>
        <v/>
      </c>
      <c r="K30" s="4"/>
      <c r="L30" s="212"/>
      <c r="M30" s="213" t="str">
        <f>IF(OR(I30&gt;0,L30&gt;0),IF(E30&gt;0,E30*(I30-L30)*52/12*9,D30*(I30-L30)*52/12*9),"")</f>
        <v/>
      </c>
      <c r="O30" s="172">
        <f>IF(I30&gt;0,IF(E30&gt;0,E30*52/12*9,D30*52/12*9),0)</f>
        <v>0</v>
      </c>
      <c r="P30" s="172">
        <f>IF(L30&gt;0,IF(E30&gt;0,E30*52/12*9,D30*52/12*9),0)</f>
        <v>0</v>
      </c>
    </row>
    <row r="31" spans="1:16" ht="26.25" thickBot="1" x14ac:dyDescent="0.25">
      <c r="A31" s="215" t="s">
        <v>87</v>
      </c>
      <c r="B31" s="205" t="s">
        <v>24</v>
      </c>
      <c r="C31" s="239" t="s">
        <v>216</v>
      </c>
      <c r="D31" s="238">
        <v>74</v>
      </c>
      <c r="E31" s="208"/>
      <c r="F31" s="209" t="s">
        <v>288</v>
      </c>
      <c r="G31" s="210">
        <f t="shared" si="6"/>
        <v>0</v>
      </c>
      <c r="H31" s="217"/>
      <c r="I31" s="212"/>
      <c r="J31" s="213" t="str">
        <f>IF(AND(ISNUMBER(L31),OR(L31&lt;&gt;0,L31&lt;&gt;"")),IF(AND(ISNUMBER(I31),OR(I31&lt;&gt;0,I31&lt;&gt;"")),IF(E31&gt;0,E31*G31*52/12*9,D31*G31*52/12*9),""),IF(AND(ISNUMBER(I31),OR(I31&lt;&gt;0,I31&lt;&gt;"")),IF(E31&gt;0,IF(H31&gt;0,E31*H31*52/12*9,E31*G31*52/12*9),IF(H31&gt;0,D31*H31*52/12*9,D31*G31*52/12*9)),""))</f>
        <v/>
      </c>
      <c r="K31" s="4"/>
      <c r="L31" s="212"/>
      <c r="M31" s="213" t="str">
        <f>IF(OR(I31&gt;0,L31&gt;0),IF(E31&gt;0,E31*(I31-L31)*52/12*9,D31*(I31-L31)*52/12*9),"")</f>
        <v/>
      </c>
      <c r="O31" s="172">
        <f>IF(I31&gt;0,IF(E31&gt;0,E31*52/12*9,D31*52/12*9),0)</f>
        <v>0</v>
      </c>
      <c r="P31" s="172">
        <f>IF(L31&gt;0,IF(E31&gt;0,E31*52/12*9,D31*52/12*9),0)</f>
        <v>0</v>
      </c>
    </row>
    <row r="32" spans="1:16" ht="13.5" thickBot="1" x14ac:dyDescent="0.25">
      <c r="A32" s="215" t="s">
        <v>155</v>
      </c>
      <c r="B32" s="205" t="s">
        <v>24</v>
      </c>
      <c r="C32" s="240" t="s">
        <v>336</v>
      </c>
      <c r="D32" s="238">
        <v>11686</v>
      </c>
      <c r="E32" s="208"/>
      <c r="F32" s="209" t="s">
        <v>334</v>
      </c>
      <c r="G32" s="210">
        <f t="shared" si="6"/>
        <v>0</v>
      </c>
      <c r="H32" s="217"/>
      <c r="I32" s="212"/>
      <c r="J32" s="213" t="str">
        <f>IF(AND(ISNUMBER(L32),OR(L32&lt;&gt;0,L32&lt;&gt;"")),IF(AND(ISNUMBER(I32),OR(I32&lt;&gt;0,I32&lt;&gt;"")),IF(E32&gt;0,E32*G32*I32,I32*D32*G32),""),IF(AND(ISNUMBER(I32),OR(I32&lt;&gt;0,I32&lt;&gt;"")),IF(E32&gt;0,IF(H32&gt;0,E32*H32*I32,E32*G32*I32),IF(H32&gt;0,I32*D32*H32,I32*D32*G32)),""))</f>
        <v/>
      </c>
      <c r="K32" s="4"/>
      <c r="L32" s="212"/>
      <c r="M32" s="213" t="str">
        <f>IF(OR(I32&gt;0,L32&gt;0),IF(E32&gt;0,(I32-L32)*E32,(I32-L32)*D32),"")</f>
        <v/>
      </c>
      <c r="O32" s="172">
        <f>IF(E32&gt;0,I32*E32,I32*D32)</f>
        <v>0</v>
      </c>
      <c r="P32" s="172">
        <f>IF(E32&gt;0,L32*E32,L32*D32)</f>
        <v>0</v>
      </c>
    </row>
    <row r="33" spans="1:16" ht="13.5" thickBot="1" x14ac:dyDescent="0.25">
      <c r="A33" s="215" t="s">
        <v>168</v>
      </c>
      <c r="B33" s="205" t="s">
        <v>24</v>
      </c>
      <c r="C33" s="240" t="s">
        <v>217</v>
      </c>
      <c r="D33" s="238">
        <v>98</v>
      </c>
      <c r="E33" s="208"/>
      <c r="F33" s="209"/>
      <c r="G33" s="210">
        <f t="shared" si="6"/>
        <v>0</v>
      </c>
      <c r="H33" s="217"/>
      <c r="I33" s="212"/>
      <c r="J33" s="213" t="str">
        <f>IF(AND(ISNUMBER(L33),OR(L33&lt;&gt;0,L33&lt;&gt;"")),IF(AND(ISNUMBER(I33),OR(I33&lt;&gt;0,I33&lt;&gt;"")),IF(E33&gt;0,E33*G33*I33,I33*D33*G33),""),IF(AND(ISNUMBER(I33),OR(I33&lt;&gt;0,I33&lt;&gt;"")),IF(E33&gt;0,IF(H33&gt;0,E33*H33*I33,E33*G33*I33),IF(H33&gt;0,I33*D33*H33,I33*D33*G33)),""))</f>
        <v/>
      </c>
      <c r="K33" s="4"/>
      <c r="L33" s="212"/>
      <c r="M33" s="213" t="str">
        <f>IF(OR(I33&gt;0,L33&gt;0),IF(E33&gt;0,(I33-L33)*E33,(I33-L33)*D33),"")</f>
        <v/>
      </c>
      <c r="O33" s="172">
        <f>IF(E33&gt;0,I33*E33,I33*D33)</f>
        <v>0</v>
      </c>
      <c r="P33" s="172">
        <f>IF(E33&gt;0,L33*E33,L33*D33)</f>
        <v>0</v>
      </c>
    </row>
    <row r="34" spans="1:16" ht="13.5" thickBot="1" x14ac:dyDescent="0.25">
      <c r="A34" s="215" t="s">
        <v>199</v>
      </c>
      <c r="B34" s="205" t="s">
        <v>7</v>
      </c>
      <c r="C34" s="240" t="s">
        <v>218</v>
      </c>
      <c r="D34" s="238">
        <v>15902</v>
      </c>
      <c r="E34" s="208"/>
      <c r="F34" s="209"/>
      <c r="G34" s="210">
        <f t="shared" si="6"/>
        <v>0</v>
      </c>
      <c r="H34" s="217"/>
      <c r="I34" s="212"/>
      <c r="J34" s="213" t="str">
        <f>IF(AND(ISNUMBER(L34),OR(L34&lt;&gt;0,L34&lt;&gt;"")),IF(AND(ISNUMBER(I34),OR(I34&lt;&gt;0,I34&lt;&gt;"")),IF(E34&gt;0,E34*G34*I34,I34*D34*G34),""),IF(AND(ISNUMBER(I34),OR(I34&lt;&gt;0,I34&lt;&gt;"")),IF(E34&gt;0,IF(H34&gt;0,E34*H34*I34,E34*G34*I34),IF(H34&gt;0,I34*D34*H34,I34*D34*G34)),""))</f>
        <v/>
      </c>
      <c r="K34" s="4"/>
      <c r="L34" s="212"/>
      <c r="M34" s="213" t="str">
        <f>IF(OR(I34&gt;0,L34&gt;0),IF(E34&gt;0,(I34-L34)*E34,(I34-L34)*D34),"")</f>
        <v/>
      </c>
      <c r="O34" s="172">
        <f>IF(E34&gt;0,I34*E34,I34*D34)</f>
        <v>0</v>
      </c>
      <c r="P34" s="172">
        <f>IF(E34&gt;0,L34*E34,L34*D34)</f>
        <v>0</v>
      </c>
    </row>
    <row r="35" spans="1:16" ht="13.5" thickBot="1" x14ac:dyDescent="0.25">
      <c r="A35" s="215" t="s">
        <v>219</v>
      </c>
      <c r="B35" s="205" t="s">
        <v>7</v>
      </c>
      <c r="C35" s="240" t="s">
        <v>220</v>
      </c>
      <c r="D35" s="238">
        <v>12</v>
      </c>
      <c r="E35" s="208"/>
      <c r="F35" s="209"/>
      <c r="G35" s="210">
        <f t="shared" si="6"/>
        <v>0</v>
      </c>
      <c r="H35" s="217"/>
      <c r="I35" s="212"/>
      <c r="J35" s="213" t="str">
        <f>IF(AND(ISNUMBER(L35),OR(L35&lt;&gt;0,L35&lt;&gt;"")),IF(AND(ISNUMBER(I35),OR(I35&lt;&gt;0,I35&lt;&gt;"")),IF(E35&gt;0,E35*G35*I35,I35*D35*G35),""),IF(AND(ISNUMBER(I35),OR(I35&lt;&gt;0,I35&lt;&gt;"")),IF(E35&gt;0,IF(H35&gt;0,E35*H35*I35,E35*G35*I35),IF(H35&gt;0,I35*D35*H35,I35*D35*G35)),""))</f>
        <v/>
      </c>
      <c r="K35" s="4"/>
      <c r="L35" s="212"/>
      <c r="M35" s="213" t="str">
        <f>IF(OR(I35&gt;0,L35&gt;0),IF(E35&gt;0,(I35-L35)*E35,(I35-L35)*D35),"")</f>
        <v/>
      </c>
      <c r="O35" s="172"/>
      <c r="P35" s="172"/>
    </row>
    <row r="36" spans="1:16" ht="13.5" thickBot="1" x14ac:dyDescent="0.25">
      <c r="A36" s="178"/>
      <c r="B36" s="179"/>
      <c r="C36" s="177"/>
      <c r="D36" s="177"/>
      <c r="E36" s="177"/>
      <c r="F36" s="180"/>
      <c r="G36" s="323"/>
      <c r="H36" s="253" t="s">
        <v>68</v>
      </c>
      <c r="I36" s="351">
        <f>SUM(J28:J35)+SUMIF($Q$97:$Q$106,3,$J$97:$J$106)</f>
        <v>0</v>
      </c>
      <c r="J36" s="352"/>
      <c r="K36" s="250"/>
      <c r="L36" s="251"/>
      <c r="M36" s="252">
        <f>SUM(M28:M35)+SUMIF($Q$97:$Q$106,3,$M$97:$M$106)</f>
        <v>0</v>
      </c>
    </row>
    <row r="37" spans="1:16" ht="18.75" thickBot="1" x14ac:dyDescent="0.25">
      <c r="A37" s="298" t="s">
        <v>25</v>
      </c>
      <c r="B37" s="299"/>
      <c r="C37" s="299"/>
      <c r="D37" s="299"/>
      <c r="E37" s="299"/>
      <c r="F37" s="299"/>
      <c r="G37" s="201"/>
      <c r="H37" s="221"/>
      <c r="I37" s="222"/>
      <c r="J37" s="223"/>
      <c r="K37" s="4"/>
    </row>
    <row r="38" spans="1:16" ht="13.5" thickBot="1" x14ac:dyDescent="0.25">
      <c r="A38" s="215" t="s">
        <v>26</v>
      </c>
      <c r="B38" s="205" t="s">
        <v>7</v>
      </c>
      <c r="C38" s="239">
        <v>878.23</v>
      </c>
      <c r="D38" s="241">
        <f t="shared" ref="D38:D49" si="7">C38</f>
        <v>878.23</v>
      </c>
      <c r="E38" s="208"/>
      <c r="F38" s="242" t="s">
        <v>289</v>
      </c>
      <c r="G38" s="210">
        <f t="shared" ref="G38:G50" si="8">IF(L38&gt;0,IF(I38&gt;0,(I38-L38)/I38,0),IF(L38="",0,IF(I38&gt;0,I38/I38,0)))</f>
        <v>0</v>
      </c>
      <c r="H38" s="211"/>
      <c r="I38" s="212"/>
      <c r="J38" s="213" t="str">
        <f t="shared" ref="J38:J50" si="9">IF(AND(ISNUMBER(L38),OR(L38&lt;&gt;0,L38&lt;&gt;"")),IF(AND(ISNUMBER(I38),OR(I38&lt;&gt;0,I38&lt;&gt;"")),IF(E38&gt;0,E38*G38*I38,I38*D38*G38),""),IF(AND(ISNUMBER(I38),OR(I38&lt;&gt;0,I38&lt;&gt;"")),IF(E38&gt;0,IF(H38&gt;0,E38*H38*I38,E38*G38*I38),IF(H38&gt;0,I38*D38*H38,I38*D38*G38)),""))</f>
        <v/>
      </c>
      <c r="K38" s="4"/>
      <c r="L38" s="212"/>
      <c r="M38" s="213" t="str">
        <f t="shared" ref="M38:M50" si="10">IF(OR(I38&gt;0,L38&gt;0),IF(E38&gt;0,(I38-L38)*E38,(I38-L38)*D38),"")</f>
        <v/>
      </c>
      <c r="O38" s="172">
        <f t="shared" ref="O38:O50" si="11">IF(E38&gt;0,I38*E38,I38*D38)</f>
        <v>0</v>
      </c>
      <c r="P38" s="172">
        <f t="shared" ref="P38:P50" si="12">IF(E38&gt;0,L38*E38,L38*D38)</f>
        <v>0</v>
      </c>
    </row>
    <row r="39" spans="1:16" ht="13.5" thickBot="1" x14ac:dyDescent="0.25">
      <c r="A39" s="215" t="s">
        <v>27</v>
      </c>
      <c r="B39" s="205" t="s">
        <v>7</v>
      </c>
      <c r="C39" s="239">
        <v>87.82</v>
      </c>
      <c r="D39" s="241">
        <f t="shared" si="7"/>
        <v>87.82</v>
      </c>
      <c r="E39" s="208"/>
      <c r="F39" s="242" t="s">
        <v>289</v>
      </c>
      <c r="G39" s="210">
        <f t="shared" si="8"/>
        <v>0</v>
      </c>
      <c r="H39" s="211"/>
      <c r="I39" s="212"/>
      <c r="J39" s="213" t="str">
        <f t="shared" si="9"/>
        <v/>
      </c>
      <c r="K39" s="4"/>
      <c r="L39" s="212"/>
      <c r="M39" s="213" t="str">
        <f t="shared" si="10"/>
        <v/>
      </c>
      <c r="O39" s="172">
        <f t="shared" si="11"/>
        <v>0</v>
      </c>
      <c r="P39" s="172">
        <f t="shared" si="12"/>
        <v>0</v>
      </c>
    </row>
    <row r="40" spans="1:16" ht="13.5" thickBot="1" x14ac:dyDescent="0.25">
      <c r="A40" s="215" t="s">
        <v>28</v>
      </c>
      <c r="B40" s="205" t="s">
        <v>7</v>
      </c>
      <c r="C40" s="240">
        <v>1464</v>
      </c>
      <c r="D40" s="241">
        <f t="shared" si="7"/>
        <v>1464</v>
      </c>
      <c r="E40" s="208"/>
      <c r="F40" s="242" t="s">
        <v>289</v>
      </c>
      <c r="G40" s="210">
        <f t="shared" si="8"/>
        <v>0</v>
      </c>
      <c r="H40" s="211"/>
      <c r="I40" s="212"/>
      <c r="J40" s="213" t="str">
        <f t="shared" si="9"/>
        <v/>
      </c>
      <c r="K40" s="4"/>
      <c r="L40" s="212"/>
      <c r="M40" s="213" t="str">
        <f t="shared" si="10"/>
        <v/>
      </c>
      <c r="O40" s="172">
        <f t="shared" si="11"/>
        <v>0</v>
      </c>
      <c r="P40" s="172">
        <f t="shared" si="12"/>
        <v>0</v>
      </c>
    </row>
    <row r="41" spans="1:16" ht="13.5" thickBot="1" x14ac:dyDescent="0.25">
      <c r="A41" s="215" t="s">
        <v>29</v>
      </c>
      <c r="B41" s="205" t="s">
        <v>7</v>
      </c>
      <c r="C41" s="240">
        <v>3745</v>
      </c>
      <c r="D41" s="241">
        <f t="shared" si="7"/>
        <v>3745</v>
      </c>
      <c r="E41" s="208"/>
      <c r="F41" s="242" t="s">
        <v>289</v>
      </c>
      <c r="G41" s="210">
        <f t="shared" si="8"/>
        <v>0</v>
      </c>
      <c r="H41" s="211"/>
      <c r="I41" s="212"/>
      <c r="J41" s="213" t="str">
        <f t="shared" si="9"/>
        <v/>
      </c>
      <c r="K41" s="4"/>
      <c r="L41" s="212"/>
      <c r="M41" s="213" t="str">
        <f t="shared" si="10"/>
        <v/>
      </c>
      <c r="O41" s="172">
        <f t="shared" si="11"/>
        <v>0</v>
      </c>
      <c r="P41" s="172">
        <f t="shared" si="12"/>
        <v>0</v>
      </c>
    </row>
    <row r="42" spans="1:16" ht="13.5" thickBot="1" x14ac:dyDescent="0.25">
      <c r="A42" s="215" t="s">
        <v>30</v>
      </c>
      <c r="B42" s="205" t="s">
        <v>7</v>
      </c>
      <c r="C42" s="240">
        <v>16830</v>
      </c>
      <c r="D42" s="241">
        <f t="shared" si="7"/>
        <v>16830</v>
      </c>
      <c r="E42" s="208"/>
      <c r="F42" s="242" t="s">
        <v>290</v>
      </c>
      <c r="G42" s="210">
        <f t="shared" si="8"/>
        <v>0</v>
      </c>
      <c r="H42" s="211"/>
      <c r="I42" s="212"/>
      <c r="J42" s="213" t="str">
        <f t="shared" si="9"/>
        <v/>
      </c>
      <c r="K42" s="4"/>
      <c r="L42" s="212"/>
      <c r="M42" s="213" t="str">
        <f t="shared" si="10"/>
        <v/>
      </c>
      <c r="O42" s="172">
        <f t="shared" si="11"/>
        <v>0</v>
      </c>
      <c r="P42" s="172">
        <f t="shared" si="12"/>
        <v>0</v>
      </c>
    </row>
    <row r="43" spans="1:16" ht="13.5" thickBot="1" x14ac:dyDescent="0.25">
      <c r="A43" s="215" t="s">
        <v>31</v>
      </c>
      <c r="B43" s="205" t="s">
        <v>7</v>
      </c>
      <c r="C43" s="240">
        <v>4854</v>
      </c>
      <c r="D43" s="241">
        <f t="shared" si="7"/>
        <v>4854</v>
      </c>
      <c r="E43" s="208"/>
      <c r="F43" s="242" t="s">
        <v>291</v>
      </c>
      <c r="G43" s="210">
        <f t="shared" si="8"/>
        <v>0</v>
      </c>
      <c r="H43" s="211"/>
      <c r="I43" s="212"/>
      <c r="J43" s="213" t="str">
        <f t="shared" si="9"/>
        <v/>
      </c>
      <c r="K43" s="4"/>
      <c r="L43" s="212"/>
      <c r="M43" s="213" t="str">
        <f t="shared" si="10"/>
        <v/>
      </c>
      <c r="O43" s="172">
        <f t="shared" si="11"/>
        <v>0</v>
      </c>
      <c r="P43" s="172">
        <f t="shared" si="12"/>
        <v>0</v>
      </c>
    </row>
    <row r="44" spans="1:16" ht="13.5" thickBot="1" x14ac:dyDescent="0.25">
      <c r="A44" s="215" t="s">
        <v>32</v>
      </c>
      <c r="B44" s="205" t="s">
        <v>7</v>
      </c>
      <c r="C44" s="240">
        <v>7072</v>
      </c>
      <c r="D44" s="241">
        <f t="shared" si="7"/>
        <v>7072</v>
      </c>
      <c r="E44" s="208"/>
      <c r="F44" s="242"/>
      <c r="G44" s="210">
        <f t="shared" si="8"/>
        <v>0</v>
      </c>
      <c r="H44" s="211"/>
      <c r="I44" s="212"/>
      <c r="J44" s="213" t="str">
        <f t="shared" si="9"/>
        <v/>
      </c>
      <c r="K44" s="4"/>
      <c r="L44" s="212"/>
      <c r="M44" s="213" t="str">
        <f t="shared" si="10"/>
        <v/>
      </c>
      <c r="O44" s="172">
        <f t="shared" si="11"/>
        <v>0</v>
      </c>
      <c r="P44" s="172">
        <f t="shared" si="12"/>
        <v>0</v>
      </c>
    </row>
    <row r="45" spans="1:16" ht="13.5" thickBot="1" x14ac:dyDescent="0.25">
      <c r="A45" s="215" t="s">
        <v>33</v>
      </c>
      <c r="B45" s="205" t="s">
        <v>7</v>
      </c>
      <c r="C45" s="240">
        <v>1094</v>
      </c>
      <c r="D45" s="241">
        <f t="shared" si="7"/>
        <v>1094</v>
      </c>
      <c r="E45" s="208"/>
      <c r="F45" s="242" t="s">
        <v>292</v>
      </c>
      <c r="G45" s="210">
        <f t="shared" si="8"/>
        <v>0</v>
      </c>
      <c r="H45" s="211"/>
      <c r="I45" s="212"/>
      <c r="J45" s="213" t="str">
        <f t="shared" si="9"/>
        <v/>
      </c>
      <c r="K45" s="4"/>
      <c r="L45" s="212"/>
      <c r="M45" s="213" t="str">
        <f t="shared" si="10"/>
        <v/>
      </c>
      <c r="O45" s="172">
        <f t="shared" si="11"/>
        <v>0</v>
      </c>
      <c r="P45" s="172">
        <f t="shared" si="12"/>
        <v>0</v>
      </c>
    </row>
    <row r="46" spans="1:16" ht="13.5" thickBot="1" x14ac:dyDescent="0.25">
      <c r="A46" s="215" t="s">
        <v>34</v>
      </c>
      <c r="B46" s="205" t="s">
        <v>7</v>
      </c>
      <c r="C46" s="240">
        <v>5708</v>
      </c>
      <c r="D46" s="241">
        <f t="shared" si="7"/>
        <v>5708</v>
      </c>
      <c r="E46" s="208"/>
      <c r="F46" s="242" t="s">
        <v>292</v>
      </c>
      <c r="G46" s="210">
        <f t="shared" si="8"/>
        <v>0</v>
      </c>
      <c r="H46" s="211"/>
      <c r="I46" s="212"/>
      <c r="J46" s="213" t="str">
        <f t="shared" si="9"/>
        <v/>
      </c>
      <c r="K46" s="4"/>
      <c r="L46" s="212"/>
      <c r="M46" s="213" t="str">
        <f t="shared" si="10"/>
        <v/>
      </c>
      <c r="O46" s="172">
        <f t="shared" si="11"/>
        <v>0</v>
      </c>
      <c r="P46" s="172">
        <f t="shared" si="12"/>
        <v>0</v>
      </c>
    </row>
    <row r="47" spans="1:16" ht="13.5" thickBot="1" x14ac:dyDescent="0.25">
      <c r="A47" s="215" t="s">
        <v>35</v>
      </c>
      <c r="B47" s="205" t="s">
        <v>7</v>
      </c>
      <c r="C47" s="240">
        <v>4716</v>
      </c>
      <c r="D47" s="241">
        <f t="shared" si="7"/>
        <v>4716</v>
      </c>
      <c r="E47" s="208"/>
      <c r="F47" s="242" t="s">
        <v>293</v>
      </c>
      <c r="G47" s="210">
        <f t="shared" si="8"/>
        <v>0</v>
      </c>
      <c r="H47" s="211"/>
      <c r="I47" s="212"/>
      <c r="J47" s="213" t="str">
        <f t="shared" si="9"/>
        <v/>
      </c>
      <c r="K47" s="4"/>
      <c r="L47" s="212"/>
      <c r="M47" s="213" t="str">
        <f t="shared" si="10"/>
        <v/>
      </c>
      <c r="O47" s="172">
        <f t="shared" si="11"/>
        <v>0</v>
      </c>
      <c r="P47" s="172">
        <f t="shared" si="12"/>
        <v>0</v>
      </c>
    </row>
    <row r="48" spans="1:16" ht="13.5" thickBot="1" x14ac:dyDescent="0.25">
      <c r="A48" s="215" t="s">
        <v>36</v>
      </c>
      <c r="B48" s="205" t="s">
        <v>7</v>
      </c>
      <c r="C48" s="239">
        <v>1756</v>
      </c>
      <c r="D48" s="241">
        <f t="shared" si="7"/>
        <v>1756</v>
      </c>
      <c r="E48" s="208"/>
      <c r="F48" s="242" t="s">
        <v>292</v>
      </c>
      <c r="G48" s="210">
        <f t="shared" si="8"/>
        <v>0</v>
      </c>
      <c r="H48" s="211"/>
      <c r="I48" s="212"/>
      <c r="J48" s="213" t="str">
        <f t="shared" si="9"/>
        <v/>
      </c>
      <c r="K48" s="4"/>
      <c r="L48" s="212"/>
      <c r="M48" s="213" t="str">
        <f t="shared" si="10"/>
        <v/>
      </c>
      <c r="O48" s="172">
        <f t="shared" si="11"/>
        <v>0</v>
      </c>
      <c r="P48" s="172">
        <f t="shared" si="12"/>
        <v>0</v>
      </c>
    </row>
    <row r="49" spans="1:16" ht="13.5" thickBot="1" x14ac:dyDescent="0.25">
      <c r="A49" s="215" t="s">
        <v>137</v>
      </c>
      <c r="B49" s="205" t="s">
        <v>7</v>
      </c>
      <c r="C49" s="239">
        <v>766</v>
      </c>
      <c r="D49" s="241">
        <f t="shared" si="7"/>
        <v>766</v>
      </c>
      <c r="E49" s="208"/>
      <c r="F49" s="242"/>
      <c r="G49" s="210">
        <f t="shared" si="8"/>
        <v>0</v>
      </c>
      <c r="H49" s="211"/>
      <c r="I49" s="212"/>
      <c r="J49" s="213" t="str">
        <f t="shared" si="9"/>
        <v/>
      </c>
      <c r="K49" s="4"/>
      <c r="L49" s="212"/>
      <c r="M49" s="213" t="str">
        <f t="shared" si="10"/>
        <v/>
      </c>
      <c r="O49" s="172">
        <f t="shared" si="11"/>
        <v>0</v>
      </c>
      <c r="P49" s="172">
        <f t="shared" si="12"/>
        <v>0</v>
      </c>
    </row>
    <row r="50" spans="1:16" ht="13.5" thickBot="1" x14ac:dyDescent="0.25">
      <c r="A50" s="215" t="s">
        <v>167</v>
      </c>
      <c r="B50" s="205" t="s">
        <v>7</v>
      </c>
      <c r="C50" s="239"/>
      <c r="D50" s="241">
        <f>E50</f>
        <v>0</v>
      </c>
      <c r="E50" s="208"/>
      <c r="F50" s="242"/>
      <c r="G50" s="210">
        <f t="shared" si="8"/>
        <v>0</v>
      </c>
      <c r="H50" s="211"/>
      <c r="I50" s="212"/>
      <c r="J50" s="213" t="str">
        <f t="shared" si="9"/>
        <v/>
      </c>
      <c r="K50" s="4"/>
      <c r="L50" s="212"/>
      <c r="M50" s="213" t="str">
        <f t="shared" si="10"/>
        <v/>
      </c>
      <c r="O50" s="172">
        <f t="shared" si="11"/>
        <v>0</v>
      </c>
      <c r="P50" s="172">
        <f t="shared" si="12"/>
        <v>0</v>
      </c>
    </row>
    <row r="51" spans="1:16" ht="13.5" thickBot="1" x14ac:dyDescent="0.25">
      <c r="A51" s="174"/>
      <c r="B51" s="175"/>
      <c r="C51" s="176"/>
      <c r="D51" s="176"/>
      <c r="E51" s="176"/>
      <c r="F51" s="182"/>
      <c r="G51" s="324"/>
      <c r="H51" s="253" t="s">
        <v>68</v>
      </c>
      <c r="I51" s="351">
        <f>SUM(J38:J49)+SUMIF($Q$97:$Q$106,5,$J$97:$J$106)</f>
        <v>0</v>
      </c>
      <c r="J51" s="352"/>
      <c r="K51" s="250"/>
      <c r="L51" s="251"/>
      <c r="M51" s="252">
        <f>SUM(M38:M50)+SUMIF($Q$97:$Q$106,5,$M$97:$M$106)</f>
        <v>0</v>
      </c>
    </row>
    <row r="52" spans="1:16" ht="18.75" thickBot="1" x14ac:dyDescent="0.25">
      <c r="A52" s="298" t="s">
        <v>37</v>
      </c>
      <c r="B52" s="299"/>
      <c r="C52" s="299"/>
      <c r="D52" s="299"/>
      <c r="E52" s="299"/>
      <c r="F52" s="299"/>
      <c r="G52" s="201"/>
      <c r="H52" s="221"/>
      <c r="I52" s="222"/>
      <c r="J52" s="224"/>
      <c r="K52" s="4"/>
    </row>
    <row r="53" spans="1:16" ht="13.5" thickBot="1" x14ac:dyDescent="0.25">
      <c r="A53" s="204" t="s">
        <v>161</v>
      </c>
      <c r="B53" s="205" t="s">
        <v>39</v>
      </c>
      <c r="C53" s="237" t="s">
        <v>221</v>
      </c>
      <c r="D53" s="238">
        <v>131</v>
      </c>
      <c r="E53" s="208"/>
      <c r="F53" s="242" t="s">
        <v>294</v>
      </c>
      <c r="G53" s="210">
        <f t="shared" ref="G53:G70" si="13">IF(L53&gt;0,IF(I53&gt;0,(I53-L53)/I53,0),IF(L53="",0,IF(I53&gt;0,I53/I53,0)))</f>
        <v>0</v>
      </c>
      <c r="H53" s="211"/>
      <c r="I53" s="212"/>
      <c r="J53" s="213" t="str">
        <f t="shared" ref="J53:J70" si="14">IF(AND(ISNUMBER(L53),OR(L53&lt;&gt;0,L53&lt;&gt;"")),IF(AND(ISNUMBER(I53),OR(I53&lt;&gt;0,I53&lt;&gt;"")),IF(E53&gt;0,E53*G53*I53,I53*D53*G53),""),IF(AND(ISNUMBER(I53),OR(I53&lt;&gt;0,I53&lt;&gt;"")),IF(E53&gt;0,IF(H53&gt;0,E53*H53*I53,E53*G53*I53),IF(H53&gt;0,I53*D53*H53,I53*D53*G53)),""))</f>
        <v/>
      </c>
      <c r="K53" s="4"/>
      <c r="L53" s="212"/>
      <c r="M53" s="213" t="str">
        <f t="shared" ref="M53:M70" si="15">IF(OR(I53&gt;0,L53&gt;0),IF(E53&gt;0,(I53-L53)*E53,(I53-L53)*D53),"")</f>
        <v/>
      </c>
      <c r="O53" s="172">
        <f t="shared" ref="O53:O70" si="16">IF(E53&gt;0,I53*E53,I53*D53)</f>
        <v>0</v>
      </c>
      <c r="P53" s="172">
        <f t="shared" ref="P53:P70" si="17">IF(E53&gt;0,L53*E53,L53*D53)</f>
        <v>0</v>
      </c>
    </row>
    <row r="54" spans="1:16" ht="13.5" thickBot="1" x14ac:dyDescent="0.25">
      <c r="A54" s="204" t="s">
        <v>160</v>
      </c>
      <c r="B54" s="205" t="s">
        <v>39</v>
      </c>
      <c r="C54" s="237" t="s">
        <v>222</v>
      </c>
      <c r="D54" s="238">
        <v>142</v>
      </c>
      <c r="E54" s="208"/>
      <c r="F54" s="242" t="s">
        <v>295</v>
      </c>
      <c r="G54" s="210">
        <f t="shared" si="13"/>
        <v>0</v>
      </c>
      <c r="H54" s="211"/>
      <c r="I54" s="212"/>
      <c r="J54" s="213" t="str">
        <f t="shared" si="14"/>
        <v/>
      </c>
      <c r="K54" s="4"/>
      <c r="L54" s="212"/>
      <c r="M54" s="213" t="str">
        <f t="shared" si="15"/>
        <v/>
      </c>
      <c r="O54" s="172">
        <f t="shared" si="16"/>
        <v>0</v>
      </c>
      <c r="P54" s="172">
        <f t="shared" si="17"/>
        <v>0</v>
      </c>
    </row>
    <row r="55" spans="1:16" ht="13.5" thickBot="1" x14ac:dyDescent="0.25">
      <c r="A55" s="204" t="s">
        <v>40</v>
      </c>
      <c r="B55" s="205" t="s">
        <v>39</v>
      </c>
      <c r="C55" s="237" t="s">
        <v>223</v>
      </c>
      <c r="D55" s="238">
        <v>272.37</v>
      </c>
      <c r="E55" s="208"/>
      <c r="F55" s="242" t="s">
        <v>41</v>
      </c>
      <c r="G55" s="210">
        <f t="shared" si="13"/>
        <v>0</v>
      </c>
      <c r="H55" s="211"/>
      <c r="I55" s="212"/>
      <c r="J55" s="213" t="str">
        <f t="shared" si="14"/>
        <v/>
      </c>
      <c r="K55" s="4"/>
      <c r="L55" s="212"/>
      <c r="M55" s="213" t="str">
        <f t="shared" si="15"/>
        <v/>
      </c>
      <c r="O55" s="172">
        <f t="shared" si="16"/>
        <v>0</v>
      </c>
      <c r="P55" s="172">
        <f t="shared" si="17"/>
        <v>0</v>
      </c>
    </row>
    <row r="56" spans="1:16" ht="13.5" thickBot="1" x14ac:dyDescent="0.25">
      <c r="A56" s="204" t="s">
        <v>42</v>
      </c>
      <c r="B56" s="205" t="s">
        <v>39</v>
      </c>
      <c r="C56" s="237" t="s">
        <v>224</v>
      </c>
      <c r="D56" s="238">
        <v>247</v>
      </c>
      <c r="E56" s="208"/>
      <c r="F56" s="242" t="s">
        <v>43</v>
      </c>
      <c r="G56" s="210">
        <f t="shared" si="13"/>
        <v>0</v>
      </c>
      <c r="H56" s="211"/>
      <c r="I56" s="212"/>
      <c r="J56" s="213" t="str">
        <f t="shared" si="14"/>
        <v/>
      </c>
      <c r="K56" s="4"/>
      <c r="L56" s="212"/>
      <c r="M56" s="213" t="str">
        <f t="shared" si="15"/>
        <v/>
      </c>
      <c r="O56" s="172">
        <f t="shared" si="16"/>
        <v>0</v>
      </c>
      <c r="P56" s="172">
        <f t="shared" si="17"/>
        <v>0</v>
      </c>
    </row>
    <row r="57" spans="1:16" ht="13.5" thickBot="1" x14ac:dyDescent="0.25">
      <c r="A57" s="204" t="s">
        <v>44</v>
      </c>
      <c r="B57" s="205" t="s">
        <v>39</v>
      </c>
      <c r="C57" s="237" t="s">
        <v>225</v>
      </c>
      <c r="D57" s="238">
        <v>152</v>
      </c>
      <c r="E57" s="208"/>
      <c r="F57" s="242" t="s">
        <v>327</v>
      </c>
      <c r="G57" s="210">
        <f t="shared" si="13"/>
        <v>0</v>
      </c>
      <c r="H57" s="211"/>
      <c r="I57" s="212"/>
      <c r="J57" s="213" t="str">
        <f t="shared" si="14"/>
        <v/>
      </c>
      <c r="K57" s="4"/>
      <c r="L57" s="212"/>
      <c r="M57" s="213" t="str">
        <f t="shared" si="15"/>
        <v/>
      </c>
      <c r="O57" s="172">
        <f t="shared" si="16"/>
        <v>0</v>
      </c>
      <c r="P57" s="172">
        <f t="shared" si="17"/>
        <v>0</v>
      </c>
    </row>
    <row r="58" spans="1:16" ht="13.5" thickBot="1" x14ac:dyDescent="0.25">
      <c r="A58" s="204" t="s">
        <v>162</v>
      </c>
      <c r="B58" s="205" t="s">
        <v>39</v>
      </c>
      <c r="C58" s="237" t="s">
        <v>163</v>
      </c>
      <c r="D58" s="238">
        <v>105</v>
      </c>
      <c r="E58" s="208"/>
      <c r="F58" s="242" t="s">
        <v>296</v>
      </c>
      <c r="G58" s="210">
        <f t="shared" si="13"/>
        <v>0</v>
      </c>
      <c r="H58" s="211"/>
      <c r="I58" s="212"/>
      <c r="J58" s="213" t="str">
        <f t="shared" si="14"/>
        <v/>
      </c>
      <c r="K58" s="4"/>
      <c r="L58" s="212"/>
      <c r="M58" s="213" t="str">
        <f t="shared" si="15"/>
        <v/>
      </c>
      <c r="O58" s="172">
        <f t="shared" si="16"/>
        <v>0</v>
      </c>
      <c r="P58" s="172">
        <f t="shared" si="17"/>
        <v>0</v>
      </c>
    </row>
    <row r="59" spans="1:16" ht="13.5" thickBot="1" x14ac:dyDescent="0.25">
      <c r="A59" s="204" t="s">
        <v>226</v>
      </c>
      <c r="B59" s="205" t="s">
        <v>39</v>
      </c>
      <c r="C59" s="237" t="s">
        <v>227</v>
      </c>
      <c r="D59" s="238">
        <v>32</v>
      </c>
      <c r="E59" s="208"/>
      <c r="F59" s="242" t="s">
        <v>328</v>
      </c>
      <c r="G59" s="210">
        <f t="shared" si="13"/>
        <v>0</v>
      </c>
      <c r="H59" s="211"/>
      <c r="I59" s="212"/>
      <c r="J59" s="213" t="str">
        <f t="shared" si="14"/>
        <v/>
      </c>
      <c r="K59" s="4"/>
      <c r="L59" s="212"/>
      <c r="M59" s="213" t="str">
        <f t="shared" si="15"/>
        <v/>
      </c>
      <c r="O59" s="172">
        <f t="shared" si="16"/>
        <v>0</v>
      </c>
      <c r="P59" s="172">
        <f t="shared" si="17"/>
        <v>0</v>
      </c>
    </row>
    <row r="60" spans="1:16" ht="13.5" thickBot="1" x14ac:dyDescent="0.25">
      <c r="A60" s="204" t="s">
        <v>322</v>
      </c>
      <c r="B60" s="205" t="s">
        <v>39</v>
      </c>
      <c r="C60" s="237" t="s">
        <v>323</v>
      </c>
      <c r="D60" s="238">
        <v>9</v>
      </c>
      <c r="E60" s="208"/>
      <c r="F60" s="242" t="s">
        <v>324</v>
      </c>
      <c r="G60" s="210">
        <f t="shared" si="13"/>
        <v>0</v>
      </c>
      <c r="H60" s="211"/>
      <c r="I60" s="212"/>
      <c r="J60" s="213" t="str">
        <f t="shared" si="14"/>
        <v/>
      </c>
      <c r="K60" s="4"/>
      <c r="L60" s="212"/>
      <c r="M60" s="213" t="str">
        <f t="shared" si="15"/>
        <v/>
      </c>
      <c r="O60" s="172">
        <f t="shared" si="16"/>
        <v>0</v>
      </c>
      <c r="P60" s="172">
        <f t="shared" si="17"/>
        <v>0</v>
      </c>
    </row>
    <row r="61" spans="1:16" ht="13.5" thickBot="1" x14ac:dyDescent="0.25">
      <c r="A61" s="204" t="s">
        <v>228</v>
      </c>
      <c r="B61" s="205" t="s">
        <v>39</v>
      </c>
      <c r="C61" s="237" t="s">
        <v>229</v>
      </c>
      <c r="D61" s="238">
        <v>108</v>
      </c>
      <c r="E61" s="208"/>
      <c r="F61" s="242" t="s">
        <v>329</v>
      </c>
      <c r="G61" s="210">
        <f t="shared" si="13"/>
        <v>0</v>
      </c>
      <c r="H61" s="211"/>
      <c r="I61" s="212"/>
      <c r="J61" s="213" t="str">
        <f t="shared" si="14"/>
        <v/>
      </c>
      <c r="K61" s="4"/>
      <c r="L61" s="212"/>
      <c r="M61" s="213" t="str">
        <f t="shared" si="15"/>
        <v/>
      </c>
      <c r="O61" s="172">
        <f t="shared" si="16"/>
        <v>0</v>
      </c>
      <c r="P61" s="172">
        <f t="shared" si="17"/>
        <v>0</v>
      </c>
    </row>
    <row r="62" spans="1:16" ht="13.5" thickBot="1" x14ac:dyDescent="0.25">
      <c r="A62" s="204" t="s">
        <v>325</v>
      </c>
      <c r="B62" s="205" t="s">
        <v>39</v>
      </c>
      <c r="C62" s="237" t="s">
        <v>326</v>
      </c>
      <c r="D62" s="238">
        <v>13</v>
      </c>
      <c r="E62" s="208"/>
      <c r="F62" s="242" t="s">
        <v>46</v>
      </c>
      <c r="G62" s="210">
        <f t="shared" si="13"/>
        <v>0</v>
      </c>
      <c r="H62" s="211"/>
      <c r="I62" s="212"/>
      <c r="J62" s="213" t="str">
        <f t="shared" si="14"/>
        <v/>
      </c>
      <c r="K62" s="4"/>
      <c r="L62" s="212"/>
      <c r="M62" s="213" t="str">
        <f t="shared" si="15"/>
        <v/>
      </c>
      <c r="O62" s="172">
        <f t="shared" si="16"/>
        <v>0</v>
      </c>
      <c r="P62" s="172">
        <f t="shared" si="17"/>
        <v>0</v>
      </c>
    </row>
    <row r="63" spans="1:16" ht="13.5" thickBot="1" x14ac:dyDescent="0.25">
      <c r="A63" s="204" t="s">
        <v>48</v>
      </c>
      <c r="B63" s="205" t="s">
        <v>39</v>
      </c>
      <c r="C63" s="237" t="s">
        <v>230</v>
      </c>
      <c r="D63" s="238">
        <v>27</v>
      </c>
      <c r="E63" s="208"/>
      <c r="F63" s="242" t="s">
        <v>324</v>
      </c>
      <c r="G63" s="210">
        <f t="shared" si="13"/>
        <v>0</v>
      </c>
      <c r="H63" s="211"/>
      <c r="I63" s="212"/>
      <c r="J63" s="213" t="str">
        <f t="shared" si="14"/>
        <v/>
      </c>
      <c r="K63" s="4"/>
      <c r="L63" s="212"/>
      <c r="M63" s="213" t="str">
        <f t="shared" si="15"/>
        <v/>
      </c>
      <c r="O63" s="172">
        <f t="shared" si="16"/>
        <v>0</v>
      </c>
      <c r="P63" s="172">
        <f t="shared" si="17"/>
        <v>0</v>
      </c>
    </row>
    <row r="64" spans="1:16" ht="13.5" thickBot="1" x14ac:dyDescent="0.25">
      <c r="A64" s="204" t="s">
        <v>49</v>
      </c>
      <c r="B64" s="205" t="s">
        <v>39</v>
      </c>
      <c r="C64" s="206">
        <v>8</v>
      </c>
      <c r="D64" s="238">
        <v>8</v>
      </c>
      <c r="E64" s="208"/>
      <c r="F64" s="242" t="s">
        <v>297</v>
      </c>
      <c r="G64" s="210">
        <f t="shared" si="13"/>
        <v>0</v>
      </c>
      <c r="H64" s="211"/>
      <c r="I64" s="212"/>
      <c r="J64" s="213" t="str">
        <f t="shared" si="14"/>
        <v/>
      </c>
      <c r="K64" s="4"/>
      <c r="L64" s="212"/>
      <c r="M64" s="213" t="str">
        <f t="shared" si="15"/>
        <v/>
      </c>
      <c r="O64" s="172">
        <f t="shared" si="16"/>
        <v>0</v>
      </c>
      <c r="P64" s="172">
        <f t="shared" si="17"/>
        <v>0</v>
      </c>
    </row>
    <row r="65" spans="1:16" ht="13.5" thickBot="1" x14ac:dyDescent="0.25">
      <c r="A65" s="204" t="s">
        <v>231</v>
      </c>
      <c r="B65" s="205" t="s">
        <v>39</v>
      </c>
      <c r="C65" s="206">
        <v>39</v>
      </c>
      <c r="D65" s="238">
        <v>39</v>
      </c>
      <c r="E65" s="208"/>
      <c r="F65" s="242" t="s">
        <v>298</v>
      </c>
      <c r="G65" s="210">
        <f t="shared" si="13"/>
        <v>0</v>
      </c>
      <c r="H65" s="211"/>
      <c r="I65" s="212"/>
      <c r="J65" s="213" t="str">
        <f t="shared" si="14"/>
        <v/>
      </c>
      <c r="K65" s="4"/>
      <c r="L65" s="212"/>
      <c r="M65" s="213" t="str">
        <f t="shared" si="15"/>
        <v/>
      </c>
      <c r="O65" s="172">
        <f t="shared" si="16"/>
        <v>0</v>
      </c>
      <c r="P65" s="172">
        <f t="shared" si="17"/>
        <v>0</v>
      </c>
    </row>
    <row r="66" spans="1:16" ht="13.5" thickBot="1" x14ac:dyDescent="0.25">
      <c r="A66" s="204" t="s">
        <v>50</v>
      </c>
      <c r="B66" s="205" t="s">
        <v>39</v>
      </c>
      <c r="C66" s="237" t="s">
        <v>51</v>
      </c>
      <c r="D66" s="238">
        <v>11</v>
      </c>
      <c r="E66" s="208"/>
      <c r="F66" s="242" t="s">
        <v>52</v>
      </c>
      <c r="G66" s="210">
        <f t="shared" si="13"/>
        <v>0</v>
      </c>
      <c r="H66" s="211"/>
      <c r="I66" s="212"/>
      <c r="J66" s="213" t="str">
        <f t="shared" si="14"/>
        <v/>
      </c>
      <c r="K66" s="4"/>
      <c r="L66" s="212"/>
      <c r="M66" s="213" t="str">
        <f t="shared" si="15"/>
        <v/>
      </c>
      <c r="O66" s="172">
        <f t="shared" si="16"/>
        <v>0</v>
      </c>
      <c r="P66" s="172">
        <f t="shared" si="17"/>
        <v>0</v>
      </c>
    </row>
    <row r="67" spans="1:16" ht="13.5" thickBot="1" x14ac:dyDescent="0.25">
      <c r="A67" s="204" t="s">
        <v>170</v>
      </c>
      <c r="B67" s="205" t="s">
        <v>39</v>
      </c>
      <c r="C67" s="237" t="s">
        <v>232</v>
      </c>
      <c r="D67" s="238">
        <v>104</v>
      </c>
      <c r="E67" s="208"/>
      <c r="F67" s="242" t="s">
        <v>53</v>
      </c>
      <c r="G67" s="210">
        <f t="shared" si="13"/>
        <v>0</v>
      </c>
      <c r="H67" s="211"/>
      <c r="I67" s="212"/>
      <c r="J67" s="213" t="str">
        <f t="shared" si="14"/>
        <v/>
      </c>
      <c r="K67" s="4"/>
      <c r="L67" s="212"/>
      <c r="M67" s="213" t="str">
        <f t="shared" si="15"/>
        <v/>
      </c>
      <c r="O67" s="172">
        <f t="shared" si="16"/>
        <v>0</v>
      </c>
      <c r="P67" s="172">
        <f t="shared" si="17"/>
        <v>0</v>
      </c>
    </row>
    <row r="68" spans="1:16" ht="13.5" thickBot="1" x14ac:dyDescent="0.25">
      <c r="A68" s="204" t="s">
        <v>93</v>
      </c>
      <c r="B68" s="205" t="s">
        <v>39</v>
      </c>
      <c r="C68" s="206">
        <v>4788</v>
      </c>
      <c r="D68" s="238">
        <v>4788</v>
      </c>
      <c r="E68" s="208"/>
      <c r="F68" s="242" t="s">
        <v>299</v>
      </c>
      <c r="G68" s="210">
        <f t="shared" si="13"/>
        <v>0</v>
      </c>
      <c r="H68" s="211"/>
      <c r="I68" s="212"/>
      <c r="J68" s="213" t="str">
        <f t="shared" si="14"/>
        <v/>
      </c>
      <c r="K68" s="4"/>
      <c r="L68" s="212"/>
      <c r="M68" s="213" t="str">
        <f t="shared" si="15"/>
        <v/>
      </c>
      <c r="O68" s="172">
        <f t="shared" si="16"/>
        <v>0</v>
      </c>
      <c r="P68" s="172">
        <f t="shared" si="17"/>
        <v>0</v>
      </c>
    </row>
    <row r="69" spans="1:16" ht="13.5" thickBot="1" x14ac:dyDescent="0.25">
      <c r="A69" s="204" t="s">
        <v>233</v>
      </c>
      <c r="B69" s="205" t="s">
        <v>39</v>
      </c>
      <c r="C69" s="206">
        <v>1543</v>
      </c>
      <c r="D69" s="238">
        <v>1543</v>
      </c>
      <c r="E69" s="208"/>
      <c r="F69" s="242" t="s">
        <v>300</v>
      </c>
      <c r="G69" s="210">
        <f t="shared" si="13"/>
        <v>0</v>
      </c>
      <c r="H69" s="211"/>
      <c r="I69" s="212"/>
      <c r="J69" s="213" t="str">
        <f t="shared" si="14"/>
        <v/>
      </c>
      <c r="K69" s="4"/>
      <c r="L69" s="212"/>
      <c r="M69" s="213" t="str">
        <f t="shared" si="15"/>
        <v/>
      </c>
      <c r="O69" s="172">
        <f t="shared" si="16"/>
        <v>0</v>
      </c>
      <c r="P69" s="172">
        <f t="shared" si="17"/>
        <v>0</v>
      </c>
    </row>
    <row r="70" spans="1:16" ht="13.5" thickBot="1" x14ac:dyDescent="0.25">
      <c r="A70" s="204" t="s">
        <v>234</v>
      </c>
      <c r="B70" s="205" t="s">
        <v>39</v>
      </c>
      <c r="C70" s="206">
        <v>813</v>
      </c>
      <c r="D70" s="238">
        <v>813</v>
      </c>
      <c r="E70" s="208"/>
      <c r="F70" s="242" t="s">
        <v>301</v>
      </c>
      <c r="G70" s="210">
        <f t="shared" si="13"/>
        <v>0</v>
      </c>
      <c r="H70" s="211"/>
      <c r="I70" s="212"/>
      <c r="J70" s="213" t="str">
        <f t="shared" si="14"/>
        <v/>
      </c>
      <c r="K70" s="4"/>
      <c r="L70" s="212"/>
      <c r="M70" s="213" t="str">
        <f t="shared" si="15"/>
        <v/>
      </c>
      <c r="O70" s="172">
        <f t="shared" si="16"/>
        <v>0</v>
      </c>
      <c r="P70" s="172">
        <f t="shared" si="17"/>
        <v>0</v>
      </c>
    </row>
    <row r="71" spans="1:16" ht="13.5" thickBot="1" x14ac:dyDescent="0.25">
      <c r="A71" s="174"/>
      <c r="B71" s="175"/>
      <c r="C71" s="176"/>
      <c r="D71" s="176"/>
      <c r="E71" s="176"/>
      <c r="F71" s="182"/>
      <c r="G71" s="324"/>
      <c r="H71" s="253" t="s">
        <v>68</v>
      </c>
      <c r="I71" s="351">
        <f>SUM(J53:J70)+SUMIF($Q$97:$Q$106,4,$J$97:$J$106)</f>
        <v>0</v>
      </c>
      <c r="J71" s="352"/>
      <c r="K71" s="250"/>
      <c r="L71" s="251"/>
      <c r="M71" s="252">
        <f>SUM(M53:M70)+SUMIF($Q$97:$Q$106,4,$M$97:$M$106)</f>
        <v>0</v>
      </c>
    </row>
    <row r="72" spans="1:16" ht="18.75" thickBot="1" x14ac:dyDescent="0.25">
      <c r="A72" s="298" t="s">
        <v>54</v>
      </c>
      <c r="B72" s="299"/>
      <c r="C72" s="299"/>
      <c r="D72" s="299"/>
      <c r="E72" s="299"/>
      <c r="F72" s="299"/>
      <c r="G72" s="201"/>
      <c r="H72" s="221"/>
      <c r="I72" s="222"/>
      <c r="J72" s="224"/>
      <c r="K72" s="4"/>
    </row>
    <row r="73" spans="1:16" ht="13.5" thickBot="1" x14ac:dyDescent="0.25">
      <c r="A73" s="204" t="s">
        <v>88</v>
      </c>
      <c r="B73" s="205" t="s">
        <v>13</v>
      </c>
      <c r="C73" s="237" t="s">
        <v>235</v>
      </c>
      <c r="D73" s="238">
        <v>810</v>
      </c>
      <c r="E73" s="208"/>
      <c r="F73" s="242" t="s">
        <v>302</v>
      </c>
      <c r="G73" s="210">
        <f>IF(L73&gt;0,IF(I73&gt;0,(I73-L73)/I73,0),IF(L73="",0,IF(I73&gt;0,I73/I73,0)))</f>
        <v>0</v>
      </c>
      <c r="H73" s="211"/>
      <c r="I73" s="212"/>
      <c r="J73" s="213" t="str">
        <f>IF(AND(ISNUMBER(L73),OR(L73&lt;&gt;0,L73&lt;&gt;"")),IF(AND(ISNUMBER(I73),OR(I73&lt;&gt;0,I73&lt;&gt;"")),IF(E73&gt;0,E73*G73*I73,I73*D73*G73),""),IF(AND(ISNUMBER(I73),OR(I73&lt;&gt;0,I73&lt;&gt;"")),IF(E73&gt;0,IF(H73&gt;0,E73*H73*I73,E73*G73*I73),IF(H73&gt;0,I73*D73*H73,I73*D73*G73)),""))</f>
        <v/>
      </c>
      <c r="K73" s="4"/>
      <c r="L73" s="212"/>
      <c r="M73" s="213" t="str">
        <f>IF(OR(I73&gt;0,L73&gt;0),IF(E73&gt;0,(I73-L73)*E73,(I73-L73)*D73),"")</f>
        <v/>
      </c>
      <c r="O73" s="172">
        <f>IF(E73&gt;0,I73*E73,I73*D73)</f>
        <v>0</v>
      </c>
      <c r="P73" s="172">
        <f>IF(E73&gt;0,L73*E73,L73*D73)</f>
        <v>0</v>
      </c>
    </row>
    <row r="74" spans="1:16" ht="13.5" thickBot="1" x14ac:dyDescent="0.25">
      <c r="A74" s="204" t="s">
        <v>236</v>
      </c>
      <c r="B74" s="205" t="s">
        <v>39</v>
      </c>
      <c r="C74" s="237" t="s">
        <v>222</v>
      </c>
      <c r="D74" s="238">
        <v>142</v>
      </c>
      <c r="E74" s="208"/>
      <c r="F74" s="242" t="s">
        <v>303</v>
      </c>
      <c r="G74" s="210">
        <f>IF(L74&gt;0,IF(I74&gt;0,(I74-L74)/I74,0),IF(L74="",0,IF(I74&gt;0,I74/I74,0)))</f>
        <v>0</v>
      </c>
      <c r="H74" s="211"/>
      <c r="I74" s="212"/>
      <c r="J74" s="213" t="str">
        <f>IF(AND(ISNUMBER(L74),OR(L74&lt;&gt;0,L74&lt;&gt;"")),IF(AND(ISNUMBER(I74),OR(I74&lt;&gt;0,I74&lt;&gt;"")),IF(E74&gt;0,E74*G74*I74,I74*D74*G74),""),IF(AND(ISNUMBER(I74),OR(I74&lt;&gt;0,I74&lt;&gt;"")),IF(E74&gt;0,IF(H74&gt;0,E74*H74*I74,E74*G74*I74),IF(H74&gt;0,I74*D74*H74,I74*D74*G74)),""))</f>
        <v/>
      </c>
      <c r="K74" s="4"/>
      <c r="L74" s="212"/>
      <c r="M74" s="213" t="str">
        <f>IF(OR(I74&gt;0,L74&gt;0),IF(E74&gt;0,(I74-L74)*E74,(I74-L74)*D74),"")</f>
        <v/>
      </c>
      <c r="O74" s="172">
        <f>IF(E74&gt;0,I74*E74,I74*D74)</f>
        <v>0</v>
      </c>
      <c r="P74" s="172">
        <f>IF(E74&gt;0,L74*E74,L74*D74)</f>
        <v>0</v>
      </c>
    </row>
    <row r="75" spans="1:16" ht="13.5" thickBot="1" x14ac:dyDescent="0.25">
      <c r="A75" s="204" t="s">
        <v>55</v>
      </c>
      <c r="B75" s="205" t="s">
        <v>39</v>
      </c>
      <c r="C75" s="237" t="s">
        <v>165</v>
      </c>
      <c r="D75" s="238">
        <v>44</v>
      </c>
      <c r="E75" s="208"/>
      <c r="F75" s="242" t="s">
        <v>304</v>
      </c>
      <c r="G75" s="210">
        <f>IF(L75&gt;0,IF(I75&gt;0,(I75-L75)/I75,0),IF(L75="",0,IF(I75&gt;0,I75/I75,0)))</f>
        <v>0</v>
      </c>
      <c r="H75" s="211"/>
      <c r="I75" s="212"/>
      <c r="J75" s="213" t="str">
        <f>IF(AND(ISNUMBER(L75),OR(L75&lt;&gt;0,L75&lt;&gt;"")),IF(AND(ISNUMBER(I75),OR(I75&lt;&gt;0,I75&lt;&gt;"")),IF(E75&gt;0,E75*G75*I75,I75*D75*G75),""),IF(AND(ISNUMBER(I75),OR(I75&lt;&gt;0,I75&lt;&gt;"")),IF(E75&gt;0,IF(H75&gt;0,E75*H75*I75,E75*G75*I75),IF(H75&gt;0,I75*D75*H75,I75*D75*G75)),""))</f>
        <v/>
      </c>
      <c r="K75" s="4"/>
      <c r="L75" s="212"/>
      <c r="M75" s="213" t="str">
        <f>IF(OR(I75&gt;0,L75&gt;0),IF(E75&gt;0,(I75-L75)*E75,(I75-L75)*D75),"")</f>
        <v/>
      </c>
      <c r="O75" s="172">
        <f>IF(E75&gt;0,I75*E75,I75*D75)</f>
        <v>0</v>
      </c>
      <c r="P75" s="172">
        <f>IF(E75&gt;0,L75*E75,L75*D75)</f>
        <v>0</v>
      </c>
    </row>
    <row r="76" spans="1:16" ht="13.5" thickBot="1" x14ac:dyDescent="0.25">
      <c r="A76" s="204" t="s">
        <v>237</v>
      </c>
      <c r="B76" s="205" t="s">
        <v>39</v>
      </c>
      <c r="C76" s="240">
        <v>40</v>
      </c>
      <c r="D76" s="238">
        <v>40</v>
      </c>
      <c r="E76" s="208"/>
      <c r="F76" s="242" t="s">
        <v>306</v>
      </c>
      <c r="G76" s="210">
        <f>IF(L76&gt;0,IF(I76&gt;0,(I76-L76)/I76,0),IF(L76="",0,IF(I76&gt;0,I76/I76,0)))</f>
        <v>0</v>
      </c>
      <c r="H76" s="211"/>
      <c r="I76" s="212"/>
      <c r="J76" s="213" t="str">
        <f>IF(AND(ISNUMBER(L76),OR(L76&lt;&gt;0,L76&lt;&gt;"")),IF(AND(ISNUMBER(I76),OR(I76&lt;&gt;0,I76&lt;&gt;"")),IF(E76&gt;0,E76*G76*I76,I76*D76*G76),""),IF(AND(ISNUMBER(I76),OR(I76&lt;&gt;0,I76&lt;&gt;"")),IF(E76&gt;0,IF(H76&gt;0,E76*H76*I76,E76*G76*I76),IF(H76&gt;0,I76*D76*H76,I76*D76*G76)),""))</f>
        <v/>
      </c>
      <c r="K76" s="4"/>
      <c r="L76" s="212"/>
      <c r="M76" s="213" t="str">
        <f>IF(OR(I76&gt;0,L76&gt;0),IF(E76&gt;0,(I76-L76)*E76,(I76-L76)*D76),"")</f>
        <v/>
      </c>
      <c r="O76" s="172">
        <f>IF(E76&gt;0,I76*E76,I76*D76)</f>
        <v>0</v>
      </c>
      <c r="P76" s="172">
        <f>IF(E76&gt;0,L76*E76,L76*D76)</f>
        <v>0</v>
      </c>
    </row>
    <row r="77" spans="1:16" ht="13.5" thickBot="1" x14ac:dyDescent="0.25">
      <c r="A77" s="204" t="s">
        <v>166</v>
      </c>
      <c r="B77" s="205" t="s">
        <v>39</v>
      </c>
      <c r="C77" s="237" t="s">
        <v>215</v>
      </c>
      <c r="D77" s="238">
        <v>55</v>
      </c>
      <c r="E77" s="208"/>
      <c r="F77" s="242" t="s">
        <v>305</v>
      </c>
      <c r="G77" s="210">
        <f>IF(L77&gt;0,IF(I77&gt;0,(I77-L77)/I77,0),IF(L77="",0,IF(I77&gt;0,I77/I77,0)))</f>
        <v>0</v>
      </c>
      <c r="H77" s="211"/>
      <c r="I77" s="212"/>
      <c r="J77" s="213" t="str">
        <f>IF(AND(ISNUMBER(L77),OR(L77&lt;&gt;0,L77&lt;&gt;"")),IF(AND(ISNUMBER(I77),OR(I77&lt;&gt;0,I77&lt;&gt;"")),IF(E77&gt;0,E77*G77*I77,I77*D77*G77),""),IF(AND(ISNUMBER(I77),OR(I77&lt;&gt;0,I77&lt;&gt;"")),IF(E77&gt;0,IF(H77&gt;0,E77*H77*I77,E77*G77*I77),IF(H77&gt;0,I77*D77*H77,I77*D77*G77)),""))</f>
        <v/>
      </c>
      <c r="K77" s="4"/>
      <c r="L77" s="212"/>
      <c r="M77" s="213" t="str">
        <f>IF(OR(I77&gt;0,L77&gt;0),IF(E77&gt;0,(I77-L77)*E77,(I77-L77)*D77),"")</f>
        <v/>
      </c>
      <c r="O77" s="172">
        <f>IF(E77&gt;0,I77*E77,I77*D77)</f>
        <v>0</v>
      </c>
      <c r="P77" s="172">
        <f>IF(E77&gt;0,L77*E77,L77*D77)</f>
        <v>0</v>
      </c>
    </row>
    <row r="78" spans="1:16" ht="13.5" thickBot="1" x14ac:dyDescent="0.25">
      <c r="A78" s="174"/>
      <c r="B78" s="175"/>
      <c r="C78" s="176"/>
      <c r="D78" s="176"/>
      <c r="E78" s="176"/>
      <c r="F78" s="182"/>
      <c r="G78" s="324"/>
      <c r="H78" s="253" t="s">
        <v>68</v>
      </c>
      <c r="I78" s="351">
        <f>SUM(J73:J77)+SUMIF($Q$97:$Q$106,2,$J$97:$J$106)</f>
        <v>0</v>
      </c>
      <c r="J78" s="352"/>
      <c r="K78" s="250"/>
      <c r="L78" s="251"/>
      <c r="M78" s="252">
        <f>SUM(M73:M77)+SUMIF($Q$97:$Q$106,2,$M$97:$M$106)</f>
        <v>0</v>
      </c>
    </row>
    <row r="79" spans="1:16" ht="18.75" thickBot="1" x14ac:dyDescent="0.25">
      <c r="A79" s="298" t="s">
        <v>56</v>
      </c>
      <c r="B79" s="299"/>
      <c r="C79" s="299"/>
      <c r="D79" s="299"/>
      <c r="E79" s="299"/>
      <c r="F79" s="299"/>
      <c r="G79" s="201"/>
      <c r="H79" s="221"/>
      <c r="I79" s="222"/>
      <c r="J79" s="225"/>
      <c r="K79" s="4"/>
    </row>
    <row r="80" spans="1:16" ht="13.5" thickBot="1" x14ac:dyDescent="0.25">
      <c r="A80" s="204" t="s">
        <v>57</v>
      </c>
      <c r="B80" s="205" t="s">
        <v>58</v>
      </c>
      <c r="C80" s="206" t="s">
        <v>238</v>
      </c>
      <c r="D80" s="238">
        <v>52</v>
      </c>
      <c r="E80" s="208"/>
      <c r="F80" s="242" t="s">
        <v>307</v>
      </c>
      <c r="G80" s="210">
        <f t="shared" ref="G80:G89" si="18">IF(L80&gt;0,IF(I80&gt;0,(I80-L80)/I80,0),IF(L80="",0,IF(I80&gt;0,I80/I80,0)))</f>
        <v>0</v>
      </c>
      <c r="H80" s="211"/>
      <c r="I80" s="212"/>
      <c r="J80" s="213" t="str">
        <f t="shared" ref="J80:J86" si="19">IF(AND(ISNUMBER(L80),OR(L80&lt;&gt;0,L80&lt;&gt;"")),IF(AND(ISNUMBER(I80),OR(I80&lt;&gt;0,I80&lt;&gt;"")),IF(E80&gt;0,E80*G80*I80,I80*D80*G80),""),IF(AND(ISNUMBER(I80),OR(I80&lt;&gt;0,I80&lt;&gt;"")),IF(E80&gt;0,IF(H80&gt;0,E80*H80*I80,E80*G80*I80),IF(H80&gt;0,I80*D80*H80,I80*D80*G80)),""))</f>
        <v/>
      </c>
      <c r="K80" s="4"/>
      <c r="L80" s="212"/>
      <c r="M80" s="213" t="str">
        <f t="shared" ref="M80:M86" si="20">IF(OR(I80&gt;0,L80&gt;0),IF(E80&gt;0,(I80-L80)*E80,(I80-L80)*D80),"")</f>
        <v/>
      </c>
      <c r="O80" s="172">
        <f t="shared" ref="O80:O86" si="21">IF(E80&gt;0,I80*E80,I80*D80)</f>
        <v>0</v>
      </c>
      <c r="P80" s="172">
        <f t="shared" ref="P80:P86" si="22">IF(E80&gt;0,L80*E80,L80*D80)</f>
        <v>0</v>
      </c>
    </row>
    <row r="81" spans="1:16" ht="13.5" thickBot="1" x14ac:dyDescent="0.25">
      <c r="A81" s="204" t="s">
        <v>59</v>
      </c>
      <c r="B81" s="205" t="s">
        <v>58</v>
      </c>
      <c r="C81" s="206" t="s">
        <v>239</v>
      </c>
      <c r="D81" s="238">
        <v>39</v>
      </c>
      <c r="E81" s="208"/>
      <c r="F81" s="242" t="s">
        <v>308</v>
      </c>
      <c r="G81" s="210">
        <f t="shared" si="18"/>
        <v>0</v>
      </c>
      <c r="H81" s="211"/>
      <c r="I81" s="212"/>
      <c r="J81" s="213" t="str">
        <f t="shared" si="19"/>
        <v/>
      </c>
      <c r="K81" s="4"/>
      <c r="L81" s="212"/>
      <c r="M81" s="213" t="str">
        <f t="shared" si="20"/>
        <v/>
      </c>
      <c r="O81" s="172">
        <f t="shared" si="21"/>
        <v>0</v>
      </c>
      <c r="P81" s="172">
        <f t="shared" si="22"/>
        <v>0</v>
      </c>
    </row>
    <row r="82" spans="1:16" ht="13.5" thickBot="1" x14ac:dyDescent="0.25">
      <c r="A82" s="204" t="s">
        <v>60</v>
      </c>
      <c r="B82" s="205" t="s">
        <v>58</v>
      </c>
      <c r="C82" s="206" t="s">
        <v>240</v>
      </c>
      <c r="D82" s="207">
        <v>32</v>
      </c>
      <c r="E82" s="208"/>
      <c r="F82" s="242" t="s">
        <v>309</v>
      </c>
      <c r="G82" s="210">
        <f t="shared" si="18"/>
        <v>0</v>
      </c>
      <c r="H82" s="211"/>
      <c r="I82" s="212"/>
      <c r="J82" s="213" t="str">
        <f t="shared" si="19"/>
        <v/>
      </c>
      <c r="K82" s="4"/>
      <c r="L82" s="212"/>
      <c r="M82" s="213" t="str">
        <f t="shared" si="20"/>
        <v/>
      </c>
      <c r="O82" s="172">
        <f t="shared" si="21"/>
        <v>0</v>
      </c>
      <c r="P82" s="172">
        <f t="shared" si="22"/>
        <v>0</v>
      </c>
    </row>
    <row r="83" spans="1:16" ht="13.5" thickBot="1" x14ac:dyDescent="0.25">
      <c r="A83" s="204" t="s">
        <v>61</v>
      </c>
      <c r="B83" s="205" t="s">
        <v>58</v>
      </c>
      <c r="C83" s="206" t="s">
        <v>240</v>
      </c>
      <c r="D83" s="207">
        <v>32</v>
      </c>
      <c r="E83" s="208"/>
      <c r="F83" s="242" t="s">
        <v>62</v>
      </c>
      <c r="G83" s="210">
        <f t="shared" si="18"/>
        <v>0</v>
      </c>
      <c r="H83" s="211"/>
      <c r="I83" s="212"/>
      <c r="J83" s="213" t="str">
        <f t="shared" si="19"/>
        <v/>
      </c>
      <c r="K83" s="4"/>
      <c r="L83" s="212"/>
      <c r="M83" s="213" t="str">
        <f t="shared" si="20"/>
        <v/>
      </c>
      <c r="O83" s="172">
        <f t="shared" si="21"/>
        <v>0</v>
      </c>
      <c r="P83" s="172">
        <f t="shared" si="22"/>
        <v>0</v>
      </c>
    </row>
    <row r="84" spans="1:16" ht="13.5" thickBot="1" x14ac:dyDescent="0.25">
      <c r="A84" s="204" t="s">
        <v>63</v>
      </c>
      <c r="B84" s="205" t="s">
        <v>58</v>
      </c>
      <c r="C84" s="206" t="s">
        <v>240</v>
      </c>
      <c r="D84" s="207">
        <v>32</v>
      </c>
      <c r="E84" s="208"/>
      <c r="F84" s="242" t="s">
        <v>62</v>
      </c>
      <c r="G84" s="210">
        <f t="shared" si="18"/>
        <v>0</v>
      </c>
      <c r="H84" s="211"/>
      <c r="I84" s="212"/>
      <c r="J84" s="213" t="str">
        <f t="shared" si="19"/>
        <v/>
      </c>
      <c r="K84" s="4"/>
      <c r="L84" s="212"/>
      <c r="M84" s="213" t="str">
        <f t="shared" si="20"/>
        <v/>
      </c>
      <c r="O84" s="172">
        <f t="shared" si="21"/>
        <v>0</v>
      </c>
      <c r="P84" s="172">
        <f t="shared" si="22"/>
        <v>0</v>
      </c>
    </row>
    <row r="85" spans="1:16" ht="13.5" thickBot="1" x14ac:dyDescent="0.25">
      <c r="A85" s="204" t="s">
        <v>64</v>
      </c>
      <c r="B85" s="205" t="s">
        <v>58</v>
      </c>
      <c r="C85" s="237" t="s">
        <v>241</v>
      </c>
      <c r="D85" s="207">
        <v>248</v>
      </c>
      <c r="E85" s="208"/>
      <c r="F85" s="242" t="s">
        <v>311</v>
      </c>
      <c r="G85" s="210">
        <f t="shared" si="18"/>
        <v>0</v>
      </c>
      <c r="H85" s="211"/>
      <c r="I85" s="212"/>
      <c r="J85" s="213" t="str">
        <f t="shared" si="19"/>
        <v/>
      </c>
      <c r="K85" s="4"/>
      <c r="L85" s="212"/>
      <c r="M85" s="213" t="str">
        <f t="shared" si="20"/>
        <v/>
      </c>
      <c r="O85" s="172">
        <f t="shared" si="21"/>
        <v>0</v>
      </c>
      <c r="P85" s="172">
        <f t="shared" si="22"/>
        <v>0</v>
      </c>
    </row>
    <row r="86" spans="1:16" ht="13.5" thickBot="1" x14ac:dyDescent="0.25">
      <c r="A86" s="204" t="s">
        <v>65</v>
      </c>
      <c r="B86" s="205" t="s">
        <v>58</v>
      </c>
      <c r="C86" s="206">
        <v>81</v>
      </c>
      <c r="D86" s="207">
        <v>81</v>
      </c>
      <c r="E86" s="208"/>
      <c r="F86" s="242" t="s">
        <v>310</v>
      </c>
      <c r="G86" s="210">
        <f t="shared" si="18"/>
        <v>0</v>
      </c>
      <c r="H86" s="211"/>
      <c r="I86" s="212"/>
      <c r="J86" s="213" t="str">
        <f t="shared" si="19"/>
        <v/>
      </c>
      <c r="K86" s="4"/>
      <c r="L86" s="212"/>
      <c r="M86" s="213" t="str">
        <f t="shared" si="20"/>
        <v/>
      </c>
      <c r="O86" s="172">
        <f t="shared" si="21"/>
        <v>0</v>
      </c>
      <c r="P86" s="172">
        <f t="shared" si="22"/>
        <v>0</v>
      </c>
    </row>
    <row r="87" spans="1:16" ht="26.25" thickBot="1" x14ac:dyDescent="0.25">
      <c r="A87" s="204" t="s">
        <v>200</v>
      </c>
      <c r="B87" s="205" t="s">
        <v>7</v>
      </c>
      <c r="C87" s="237" t="s">
        <v>242</v>
      </c>
      <c r="D87" s="207">
        <v>1898</v>
      </c>
      <c r="E87" s="208"/>
      <c r="F87" s="242" t="s">
        <v>312</v>
      </c>
      <c r="G87" s="210">
        <f t="shared" si="18"/>
        <v>0</v>
      </c>
      <c r="H87" s="211"/>
      <c r="I87" s="212"/>
      <c r="J87" s="213" t="str">
        <f>IF(AND(ISNUMBER(L87),OR(L87&lt;&gt;0,L87&lt;&gt;"")),IF(AND(ISNUMBER(I87),OR(I87&lt;&gt;0,I87&lt;&gt;"")),IF(E87&gt;0,E87*G87*I87,I87*D87*G87+6036),""),IF(AND(ISNUMBER(I87),OR(I87&lt;&gt;0,I87&lt;&gt;"")),IF(E87&gt;0,IF(H87&gt;0,E87*H87*I87,E87*G87*I87),IF(H87&gt;0,I87*D87*H87,I87*D87*G87+6036)),""))</f>
        <v/>
      </c>
      <c r="K87" s="4"/>
      <c r="L87" s="212"/>
      <c r="M87" s="213" t="str">
        <f>IF(AND(I87&gt;0,L87&gt;0),IF(E87&gt;0,(I87-L87)*E87,(I87-L87)*D87),IF(AND(I87&gt;0,L87=0),(I87-L87)*D87+6036,IF(AND(I87=0,L87&gt;0),(I87-L87)*D87-6036,"")))</f>
        <v/>
      </c>
      <c r="O87" s="172">
        <f>IF(I87&gt;0,IF(E87&gt;0,I87*E87,I87*D87+6036),0)</f>
        <v>0</v>
      </c>
      <c r="P87" s="172">
        <f>IF(L87&gt;0,IF(E87&gt;0,L87*E87,L87*D87+6036),0)</f>
        <v>0</v>
      </c>
    </row>
    <row r="88" spans="1:16" ht="26.25" thickBot="1" x14ac:dyDescent="0.25">
      <c r="A88" s="204" t="s">
        <v>201</v>
      </c>
      <c r="B88" s="205" t="s">
        <v>7</v>
      </c>
      <c r="C88" s="237" t="s">
        <v>243</v>
      </c>
      <c r="D88" s="207">
        <v>15050</v>
      </c>
      <c r="E88" s="208"/>
      <c r="F88" s="242"/>
      <c r="G88" s="210">
        <f t="shared" si="18"/>
        <v>0</v>
      </c>
      <c r="H88" s="211"/>
      <c r="I88" s="212"/>
      <c r="J88" s="213" t="str">
        <f>IF(AND(ISNUMBER(L88),OR(L88&lt;&gt;0,L88&lt;&gt;"")),IF(AND(ISNUMBER(I88),OR(I88&lt;&gt;0,I88&lt;&gt;"")),IF(E88&gt;0,E88*G88*I88,I88*D88*G88+6186),""),IF(AND(ISNUMBER(I88),OR(I88&lt;&gt;0,I88&lt;&gt;"")),IF(E88&gt;0,IF(H88&gt;0,E88*H88*I88,E88*G88*I88),IF(H88&gt;0,I88*D88*H88,I88*D88*G88+6186)),""))</f>
        <v/>
      </c>
      <c r="K88" s="4"/>
      <c r="L88" s="212"/>
      <c r="M88" s="213" t="str">
        <f>IF(AND(I88&gt;0,L88&gt;0),IF(E88&gt;0,(I88-L88)*E88,(I88-L88)*D88),IF(AND(I88&gt;0,L88=0),(I88-L88)*D88+6186,IF(AND(I88=0,L88&gt;0),(I88-L88)*D88-6186,"")))</f>
        <v/>
      </c>
      <c r="O88" s="172">
        <f>IF(I88&gt;0,IF(E88&gt;0,I88*E88,I88*D88+6186),0)</f>
        <v>0</v>
      </c>
      <c r="P88" s="172">
        <f>IF(L88&gt;0,IF(E88&gt;0,L88*E88,L88*D88+6186),0)</f>
        <v>0</v>
      </c>
    </row>
    <row r="89" spans="1:16" ht="26.25" thickBot="1" x14ac:dyDescent="0.25">
      <c r="A89" s="204" t="s">
        <v>138</v>
      </c>
      <c r="B89" s="205" t="s">
        <v>7</v>
      </c>
      <c r="C89" s="237" t="s">
        <v>244</v>
      </c>
      <c r="D89" s="207">
        <v>381</v>
      </c>
      <c r="E89" s="208"/>
      <c r="F89" s="242"/>
      <c r="G89" s="210">
        <f t="shared" si="18"/>
        <v>0</v>
      </c>
      <c r="H89" s="211"/>
      <c r="I89" s="212"/>
      <c r="J89" s="213" t="str">
        <f>IF(AND(ISNUMBER(L89),OR(L89&lt;&gt;0,L89&lt;&gt;"")),IF(AND(ISNUMBER(I89),OR(I89&lt;&gt;0,I89&lt;&gt;"")),IF(E89&gt;0,E89*G89*I89,I89*D89*G89+6186),""),IF(AND(ISNUMBER(I89),OR(I89&lt;&gt;0,I89&lt;&gt;"")),IF(E89&gt;0,IF(H89&gt;0,E89*H89*I89,E89*G89*I89),IF(H89&gt;0,I89*D89*H89,I89*D89*G89+6186)),""))</f>
        <v/>
      </c>
      <c r="K89" s="4"/>
      <c r="L89" s="212"/>
      <c r="M89" s="213" t="str">
        <f>IF(AND(I89&gt;0,L89&gt;0),IF(E89&gt;0,(I89-L89)*E89,(I89-L89)*D89),IF(AND(I89&gt;0,L89=0),(I89-L89)*D89+6186,IF(AND(I89=0,L89&gt;0),(I89-L89)*D89-6186,"")))</f>
        <v/>
      </c>
      <c r="O89" s="172">
        <f>IF(I89&gt;0,IF(E89&gt;0,I89*E89,I89*D89+6186),0)</f>
        <v>0</v>
      </c>
      <c r="P89" s="172">
        <f>IF(L89&gt;0,IF(E89&gt;0,L89*E89,L89*D89+6186),0)</f>
        <v>0</v>
      </c>
    </row>
    <row r="90" spans="1:16" ht="13.5" thickBot="1" x14ac:dyDescent="0.25">
      <c r="A90" s="226" t="s">
        <v>66</v>
      </c>
      <c r="B90" s="173"/>
      <c r="C90" s="227"/>
      <c r="D90" s="228"/>
      <c r="E90" s="229"/>
      <c r="F90" s="184"/>
      <c r="G90" s="230"/>
      <c r="H90" s="231"/>
      <c r="I90" s="232"/>
      <c r="J90" s="233"/>
      <c r="K90" s="4"/>
      <c r="L90" s="234"/>
      <c r="M90" s="235"/>
    </row>
    <row r="91" spans="1:16" ht="13.5" thickBot="1" x14ac:dyDescent="0.25">
      <c r="A91" s="243" t="s">
        <v>89</v>
      </c>
      <c r="B91" s="205" t="s">
        <v>7</v>
      </c>
      <c r="C91" s="206" t="s">
        <v>330</v>
      </c>
      <c r="D91" s="207">
        <v>-570</v>
      </c>
      <c r="E91" s="208"/>
      <c r="F91" s="242" t="s">
        <v>334</v>
      </c>
      <c r="G91" s="210" t="s">
        <v>169</v>
      </c>
      <c r="H91" s="211"/>
      <c r="I91" s="212"/>
      <c r="J91" s="213" t="str">
        <f>IF(AND(ISNUMBER(L91),OR(L91&lt;&gt;0,L91&lt;&gt;"")),IF(AND(ISNUMBER(I91),OR(I91&lt;&gt;0,I91&lt;&gt;"")),IF(E91&gt;0,E91*I91,I91*D91),""),IF(AND(ISNUMBER(I91),OR(I91&lt;&gt;0,I91&lt;&gt;"")),IF(E91&gt;0,IF(H91&gt;0,E91*H91*I91,E91*I91),IF(H91&gt;0,I91*D91*H91,I91*D91)),""))</f>
        <v/>
      </c>
      <c r="K91" s="4"/>
      <c r="L91" s="212"/>
      <c r="M91" s="213" t="str">
        <f>IF(OR(I91&gt;0,L91&gt;0),IF(E91&gt;0,(I91+L91)*E91,(I91+L91)*D91),"")</f>
        <v/>
      </c>
      <c r="O91" s="172">
        <f>IF(E91&gt;0,ABS(I91*E91),ABS(I91*D91))</f>
        <v>0</v>
      </c>
      <c r="P91" s="172">
        <f>IF(E91&gt;0,ABS(L91*E91),ABS(L91*D91))</f>
        <v>0</v>
      </c>
    </row>
    <row r="92" spans="1:16" ht="13.5" thickBot="1" x14ac:dyDescent="0.25">
      <c r="A92" s="243" t="s">
        <v>90</v>
      </c>
      <c r="B92" s="205" t="s">
        <v>7</v>
      </c>
      <c r="C92" s="206" t="s">
        <v>331</v>
      </c>
      <c r="D92" s="207">
        <v>-821</v>
      </c>
      <c r="E92" s="208"/>
      <c r="F92" s="242" t="s">
        <v>334</v>
      </c>
      <c r="G92" s="210" t="s">
        <v>169</v>
      </c>
      <c r="H92" s="211"/>
      <c r="I92" s="212"/>
      <c r="J92" s="213" t="str">
        <f>IF(AND(ISNUMBER(L92),OR(L92&lt;&gt;0,L92&lt;&gt;"")),IF(AND(ISNUMBER(I92),OR(I92&lt;&gt;0,I92&lt;&gt;"")),IF(E92&gt;0,E92*I92,I92*D92),""),IF(AND(ISNUMBER(I92),OR(I92&lt;&gt;0,I92&lt;&gt;"")),IF(E92&gt;0,IF(H92&gt;0,E92*H92*I92,E92*I92),IF(H92&gt;0,I92*D92*H92,I92*D92)),""))</f>
        <v/>
      </c>
      <c r="K92" s="4"/>
      <c r="L92" s="212"/>
      <c r="M92" s="213" t="str">
        <f>IF(OR(I92&gt;0,L92&gt;0),IF(E92&gt;0,(I92+L92)*E92,(I92+L92)*D92),"")</f>
        <v/>
      </c>
      <c r="O92" s="172">
        <f>IF(E92&gt;0,ABS(I92*E92),ABS(I92*D92))</f>
        <v>0</v>
      </c>
      <c r="P92" s="172">
        <f>IF(E92&gt;0,ABS(L92*E92),ABS(L92*D92))</f>
        <v>0</v>
      </c>
    </row>
    <row r="93" spans="1:16" ht="13.5" thickBot="1" x14ac:dyDescent="0.25">
      <c r="A93" s="243" t="s">
        <v>91</v>
      </c>
      <c r="B93" s="205" t="s">
        <v>7</v>
      </c>
      <c r="C93" s="206" t="s">
        <v>332</v>
      </c>
      <c r="D93" s="207">
        <v>-2282</v>
      </c>
      <c r="E93" s="208"/>
      <c r="F93" s="242" t="s">
        <v>334</v>
      </c>
      <c r="G93" s="210" t="s">
        <v>169</v>
      </c>
      <c r="H93" s="211"/>
      <c r="I93" s="212"/>
      <c r="J93" s="213" t="str">
        <f>IF(AND(ISNUMBER(L93),OR(L93&lt;&gt;0,L93&lt;&gt;"")),IF(AND(ISNUMBER(I93),OR(I93&lt;&gt;0,I93&lt;&gt;"")),IF(E93&gt;0,E93*I93,I93*D93),""),IF(AND(ISNUMBER(I93),OR(I93&lt;&gt;0,I93&lt;&gt;"")),IF(E93&gt;0,IF(H93&gt;0,E93*H93*I93,E93*I93),IF(H93&gt;0,I93*D93*H93,I93*D93)),""))</f>
        <v/>
      </c>
      <c r="K93" s="4"/>
      <c r="L93" s="212"/>
      <c r="M93" s="213" t="str">
        <f>IF(OR(I93&gt;0,L93&gt;0),IF(E93&gt;0,(I93+L93)*E93,(I93+L93)*D93),"")</f>
        <v/>
      </c>
      <c r="O93" s="172">
        <f>IF(E93&gt;0,ABS(I93*E93),ABS(I93*D93))</f>
        <v>0</v>
      </c>
      <c r="P93" s="172">
        <f>IF(E93&gt;0,ABS(L93*E93),ABS(L93*D93))</f>
        <v>0</v>
      </c>
    </row>
    <row r="94" spans="1:16" ht="13.5" thickBot="1" x14ac:dyDescent="0.25">
      <c r="A94" s="243" t="s">
        <v>92</v>
      </c>
      <c r="B94" s="205" t="s">
        <v>7</v>
      </c>
      <c r="C94" s="206" t="s">
        <v>333</v>
      </c>
      <c r="D94" s="207">
        <v>-3423</v>
      </c>
      <c r="E94" s="208"/>
      <c r="F94" s="242" t="s">
        <v>334</v>
      </c>
      <c r="G94" s="210" t="s">
        <v>169</v>
      </c>
      <c r="H94" s="211"/>
      <c r="I94" s="212"/>
      <c r="J94" s="213" t="str">
        <f>IF(AND(ISNUMBER(L94),OR(L94&lt;&gt;0,L94&lt;&gt;"")),IF(AND(ISNUMBER(I94),OR(I94&lt;&gt;0,I94&lt;&gt;"")),IF(E94&gt;0,E94*I94,I94*D94),""),IF(AND(ISNUMBER(I94),OR(I94&lt;&gt;0,I94&lt;&gt;"")),IF(E94&gt;0,IF(H94&gt;0,E94*H94*I94,E94*I94),IF(H94&gt;0,I94*D94*H94,I94*D94)),""))</f>
        <v/>
      </c>
      <c r="K94" s="4"/>
      <c r="L94" s="212"/>
      <c r="M94" s="213" t="str">
        <f>IF(OR(I94&gt;0,L94&gt;0),IF(E94&gt;0,(I94+L94)*E94,(I94+L94)*D94),"")</f>
        <v/>
      </c>
      <c r="O94" s="172">
        <f>IF(E94&gt;0,ABS(I94*E94),ABS(I94*D94))</f>
        <v>0</v>
      </c>
      <c r="P94" s="172">
        <f>IF(E94&gt;0,ABS(L94*E94),ABS(L94*D94))</f>
        <v>0</v>
      </c>
    </row>
    <row r="95" spans="1:16" ht="13.5" thickBot="1" x14ac:dyDescent="0.25">
      <c r="A95" s="185"/>
      <c r="B95" s="186"/>
      <c r="C95" s="187"/>
      <c r="D95" s="188"/>
      <c r="E95" s="188"/>
      <c r="H95" s="253" t="s">
        <v>68</v>
      </c>
      <c r="I95" s="351">
        <f>SUM(J80:J89,J91:J94)+SUMIF($Q$97:$Q$106,6,$J$97:$J$106)</f>
        <v>0</v>
      </c>
      <c r="J95" s="352"/>
      <c r="K95" s="250"/>
      <c r="L95" s="251"/>
      <c r="M95" s="252">
        <f>SUM(M91:M94,M80:M89)+SUMIF($Q$97:$Q$106,6,$M$97:$M$106)</f>
        <v>0</v>
      </c>
    </row>
    <row r="96" spans="1:16" ht="96.75" thickBot="1" x14ac:dyDescent="0.25">
      <c r="A96" s="306" t="s">
        <v>339</v>
      </c>
      <c r="B96" s="200" t="s">
        <v>0</v>
      </c>
      <c r="C96" s="200" t="s">
        <v>1</v>
      </c>
      <c r="D96" s="236"/>
      <c r="E96" s="200" t="s">
        <v>338</v>
      </c>
      <c r="F96" s="236" t="s">
        <v>337</v>
      </c>
      <c r="G96" s="300" t="s">
        <v>314</v>
      </c>
      <c r="H96" s="300" t="s">
        <v>98</v>
      </c>
      <c r="I96" s="200" t="s">
        <v>156</v>
      </c>
      <c r="J96" s="200" t="s">
        <v>67</v>
      </c>
      <c r="K96" s="249"/>
      <c r="L96" s="200" t="s">
        <v>157</v>
      </c>
      <c r="M96" s="200" t="s">
        <v>158</v>
      </c>
      <c r="N96" s="200" t="s">
        <v>2</v>
      </c>
    </row>
    <row r="97" spans="1:17" ht="13.5" thickBot="1" x14ac:dyDescent="0.25">
      <c r="A97" s="244"/>
      <c r="B97" s="245"/>
      <c r="C97" s="246"/>
      <c r="D97" s="247">
        <f t="shared" ref="D97:D106" si="23">C97</f>
        <v>0</v>
      </c>
      <c r="E97" s="248"/>
      <c r="F97" s="304"/>
      <c r="G97" s="210">
        <f t="shared" ref="G97:G106" si="24">IF(L97&gt;0,IF(I97&gt;0,(I97-L97)/I97,0),IF(L97="",0,IF(I97&gt;0,I97/I97,0)))</f>
        <v>0</v>
      </c>
      <c r="H97" s="211"/>
      <c r="I97" s="212"/>
      <c r="J97" s="213" t="str">
        <f t="shared" ref="J97:J106" si="25">IF(AND(ISNUMBER(L97),OR(L97&lt;&gt;0,L97&lt;&gt;"")),IF(AND(ISNUMBER(I97),OR(I97&lt;&gt;0,I97&lt;&gt;"")),I97*D97*G97,""),IF(AND(ISNUMBER(I97),OR(I97&lt;&gt;0,I97&lt;&gt;"")),IF(H97&gt;0,I97*D97*H97,I97*D97*G97),""))</f>
        <v/>
      </c>
      <c r="K97" s="4"/>
      <c r="L97" s="212"/>
      <c r="M97" s="213" t="str">
        <f t="shared" ref="M97:M106" si="26">IF(OR(I97&gt;0,L97&gt;0),(I97-L97)*D97,"")</f>
        <v/>
      </c>
      <c r="N97" s="213"/>
      <c r="O97" s="172">
        <f t="shared" ref="O97:O106" si="27">I97*C97</f>
        <v>0</v>
      </c>
      <c r="P97" s="172">
        <f t="shared" ref="P97:P106" si="28">IF(C97&gt;0,L97*C97,L97*D97)</f>
        <v>0</v>
      </c>
      <c r="Q97" s="1">
        <f t="shared" ref="Q97:Q106" si="29">IF(ISNA(VLOOKUP($E97,CostType,18,FALSE)),7,VLOOKUP($E97,CostType,18,FALSE))</f>
        <v>7</v>
      </c>
    </row>
    <row r="98" spans="1:17" ht="13.5" thickBot="1" x14ac:dyDescent="0.25">
      <c r="A98" s="244"/>
      <c r="B98" s="245"/>
      <c r="C98" s="246"/>
      <c r="D98" s="247">
        <f t="shared" si="23"/>
        <v>0</v>
      </c>
      <c r="E98" s="248"/>
      <c r="F98" s="304"/>
      <c r="G98" s="210">
        <f t="shared" si="24"/>
        <v>0</v>
      </c>
      <c r="H98" s="211"/>
      <c r="I98" s="212"/>
      <c r="J98" s="213" t="str">
        <f t="shared" si="25"/>
        <v/>
      </c>
      <c r="K98" s="4"/>
      <c r="L98" s="212"/>
      <c r="M98" s="213" t="str">
        <f t="shared" si="26"/>
        <v/>
      </c>
      <c r="N98" s="213"/>
      <c r="O98" s="172">
        <f t="shared" si="27"/>
        <v>0</v>
      </c>
      <c r="P98" s="172">
        <f t="shared" si="28"/>
        <v>0</v>
      </c>
      <c r="Q98" s="1">
        <f t="shared" si="29"/>
        <v>7</v>
      </c>
    </row>
    <row r="99" spans="1:17" ht="13.5" thickBot="1" x14ac:dyDescent="0.25">
      <c r="A99" s="244"/>
      <c r="B99" s="245"/>
      <c r="C99" s="246"/>
      <c r="D99" s="247">
        <f t="shared" si="23"/>
        <v>0</v>
      </c>
      <c r="E99" s="248"/>
      <c r="F99" s="304"/>
      <c r="G99" s="210">
        <f t="shared" si="24"/>
        <v>0</v>
      </c>
      <c r="H99" s="211"/>
      <c r="I99" s="212"/>
      <c r="J99" s="213" t="str">
        <f t="shared" si="25"/>
        <v/>
      </c>
      <c r="K99" s="4"/>
      <c r="L99" s="212"/>
      <c r="M99" s="213" t="str">
        <f t="shared" si="26"/>
        <v/>
      </c>
      <c r="N99" s="213"/>
      <c r="O99" s="172">
        <f t="shared" si="27"/>
        <v>0</v>
      </c>
      <c r="P99" s="172">
        <f t="shared" si="28"/>
        <v>0</v>
      </c>
      <c r="Q99" s="1">
        <f t="shared" si="29"/>
        <v>7</v>
      </c>
    </row>
    <row r="100" spans="1:17" ht="13.5" thickBot="1" x14ac:dyDescent="0.25">
      <c r="A100" s="244"/>
      <c r="B100" s="245"/>
      <c r="C100" s="246"/>
      <c r="D100" s="247">
        <f t="shared" si="23"/>
        <v>0</v>
      </c>
      <c r="E100" s="248"/>
      <c r="F100" s="304"/>
      <c r="G100" s="210">
        <f t="shared" si="24"/>
        <v>0</v>
      </c>
      <c r="H100" s="211"/>
      <c r="I100" s="212"/>
      <c r="J100" s="213" t="str">
        <f t="shared" si="25"/>
        <v/>
      </c>
      <c r="K100" s="4"/>
      <c r="L100" s="212"/>
      <c r="M100" s="213" t="str">
        <f t="shared" si="26"/>
        <v/>
      </c>
      <c r="N100" s="213"/>
      <c r="O100" s="172">
        <f t="shared" si="27"/>
        <v>0</v>
      </c>
      <c r="P100" s="172">
        <f t="shared" si="28"/>
        <v>0</v>
      </c>
      <c r="Q100" s="1">
        <f t="shared" si="29"/>
        <v>7</v>
      </c>
    </row>
    <row r="101" spans="1:17" ht="13.5" thickBot="1" x14ac:dyDescent="0.25">
      <c r="A101" s="244"/>
      <c r="B101" s="245"/>
      <c r="C101" s="246"/>
      <c r="D101" s="247">
        <f t="shared" si="23"/>
        <v>0</v>
      </c>
      <c r="E101" s="248"/>
      <c r="F101" s="304"/>
      <c r="G101" s="210">
        <f t="shared" si="24"/>
        <v>0</v>
      </c>
      <c r="H101" s="211"/>
      <c r="I101" s="212"/>
      <c r="J101" s="213" t="str">
        <f t="shared" si="25"/>
        <v/>
      </c>
      <c r="K101" s="4"/>
      <c r="L101" s="212"/>
      <c r="M101" s="213" t="str">
        <f t="shared" si="26"/>
        <v/>
      </c>
      <c r="N101" s="213"/>
      <c r="O101" s="172">
        <f t="shared" si="27"/>
        <v>0</v>
      </c>
      <c r="P101" s="172">
        <f t="shared" si="28"/>
        <v>0</v>
      </c>
      <c r="Q101" s="1">
        <f t="shared" si="29"/>
        <v>7</v>
      </c>
    </row>
    <row r="102" spans="1:17" ht="13.5" thickBot="1" x14ac:dyDescent="0.25">
      <c r="A102" s="244"/>
      <c r="B102" s="245"/>
      <c r="C102" s="246"/>
      <c r="D102" s="247">
        <f t="shared" si="23"/>
        <v>0</v>
      </c>
      <c r="E102" s="248"/>
      <c r="F102" s="304"/>
      <c r="G102" s="210">
        <f t="shared" si="24"/>
        <v>0</v>
      </c>
      <c r="H102" s="211"/>
      <c r="I102" s="212"/>
      <c r="J102" s="213" t="str">
        <f t="shared" si="25"/>
        <v/>
      </c>
      <c r="K102" s="4"/>
      <c r="L102" s="212"/>
      <c r="M102" s="213" t="str">
        <f t="shared" si="26"/>
        <v/>
      </c>
      <c r="N102" s="213"/>
      <c r="O102" s="172">
        <f t="shared" si="27"/>
        <v>0</v>
      </c>
      <c r="P102" s="172">
        <f t="shared" si="28"/>
        <v>0</v>
      </c>
      <c r="Q102" s="1">
        <f t="shared" si="29"/>
        <v>7</v>
      </c>
    </row>
    <row r="103" spans="1:17" ht="13.5" thickBot="1" x14ac:dyDescent="0.25">
      <c r="A103" s="244"/>
      <c r="B103" s="245"/>
      <c r="C103" s="246"/>
      <c r="D103" s="247">
        <f t="shared" si="23"/>
        <v>0</v>
      </c>
      <c r="E103" s="248"/>
      <c r="F103" s="304"/>
      <c r="G103" s="210">
        <f t="shared" si="24"/>
        <v>0</v>
      </c>
      <c r="H103" s="211"/>
      <c r="I103" s="212"/>
      <c r="J103" s="213" t="str">
        <f t="shared" si="25"/>
        <v/>
      </c>
      <c r="K103" s="4"/>
      <c r="L103" s="212"/>
      <c r="M103" s="213" t="str">
        <f t="shared" si="26"/>
        <v/>
      </c>
      <c r="N103" s="213"/>
      <c r="O103" s="172">
        <f t="shared" si="27"/>
        <v>0</v>
      </c>
      <c r="P103" s="172">
        <f t="shared" si="28"/>
        <v>0</v>
      </c>
      <c r="Q103" s="1">
        <f t="shared" si="29"/>
        <v>7</v>
      </c>
    </row>
    <row r="104" spans="1:17" ht="13.5" thickBot="1" x14ac:dyDescent="0.25">
      <c r="A104" s="244"/>
      <c r="B104" s="245"/>
      <c r="C104" s="246"/>
      <c r="D104" s="247">
        <f t="shared" si="23"/>
        <v>0</v>
      </c>
      <c r="E104" s="248"/>
      <c r="F104" s="304"/>
      <c r="G104" s="210">
        <f t="shared" si="24"/>
        <v>0</v>
      </c>
      <c r="H104" s="211"/>
      <c r="I104" s="212"/>
      <c r="J104" s="213" t="str">
        <f t="shared" si="25"/>
        <v/>
      </c>
      <c r="K104" s="4"/>
      <c r="L104" s="212"/>
      <c r="M104" s="213" t="str">
        <f t="shared" si="26"/>
        <v/>
      </c>
      <c r="N104" s="213"/>
      <c r="O104" s="172">
        <f t="shared" si="27"/>
        <v>0</v>
      </c>
      <c r="P104" s="172">
        <f t="shared" si="28"/>
        <v>0</v>
      </c>
      <c r="Q104" s="1">
        <f t="shared" si="29"/>
        <v>7</v>
      </c>
    </row>
    <row r="105" spans="1:17" ht="13.5" thickBot="1" x14ac:dyDescent="0.25">
      <c r="A105" s="244"/>
      <c r="B105" s="245"/>
      <c r="C105" s="246"/>
      <c r="D105" s="247">
        <f t="shared" si="23"/>
        <v>0</v>
      </c>
      <c r="E105" s="248"/>
      <c r="F105" s="304"/>
      <c r="G105" s="210">
        <f t="shared" si="24"/>
        <v>0</v>
      </c>
      <c r="H105" s="211"/>
      <c r="I105" s="212"/>
      <c r="J105" s="213" t="str">
        <f t="shared" si="25"/>
        <v/>
      </c>
      <c r="K105" s="4"/>
      <c r="L105" s="212"/>
      <c r="M105" s="213" t="str">
        <f t="shared" si="26"/>
        <v/>
      </c>
      <c r="N105" s="213"/>
      <c r="O105" s="172">
        <f t="shared" si="27"/>
        <v>0</v>
      </c>
      <c r="P105" s="172">
        <f t="shared" si="28"/>
        <v>0</v>
      </c>
      <c r="Q105" s="1">
        <f t="shared" si="29"/>
        <v>7</v>
      </c>
    </row>
    <row r="106" spans="1:17" ht="13.5" thickBot="1" x14ac:dyDescent="0.25">
      <c r="A106" s="244"/>
      <c r="B106" s="245"/>
      <c r="C106" s="246"/>
      <c r="D106" s="247">
        <f t="shared" si="23"/>
        <v>0</v>
      </c>
      <c r="E106" s="248"/>
      <c r="F106" s="304"/>
      <c r="G106" s="210">
        <f t="shared" si="24"/>
        <v>0</v>
      </c>
      <c r="H106" s="211"/>
      <c r="I106" s="212"/>
      <c r="J106" s="213" t="str">
        <f t="shared" si="25"/>
        <v/>
      </c>
      <c r="K106" s="4"/>
      <c r="L106" s="212"/>
      <c r="M106" s="213" t="str">
        <f t="shared" si="26"/>
        <v/>
      </c>
      <c r="N106" s="213"/>
      <c r="O106" s="172">
        <f t="shared" si="27"/>
        <v>0</v>
      </c>
      <c r="P106" s="172">
        <f t="shared" si="28"/>
        <v>0</v>
      </c>
      <c r="Q106" s="1">
        <f t="shared" si="29"/>
        <v>7</v>
      </c>
    </row>
    <row r="107" spans="1:17" ht="13.5" thickBot="1" x14ac:dyDescent="0.25">
      <c r="H107" s="253" t="s">
        <v>68</v>
      </c>
      <c r="I107" s="351">
        <f>SUMIF($Q$97:$Q$106,7,$J$97:$J$106)</f>
        <v>0</v>
      </c>
      <c r="J107" s="352"/>
      <c r="K107" s="250"/>
      <c r="L107" s="251"/>
      <c r="M107" s="252">
        <f>SUMIF($Q$97:$Q$106,7,$M$97:$M$106)</f>
        <v>0</v>
      </c>
      <c r="O107" s="172">
        <f>SUM(O7:O106)</f>
        <v>0</v>
      </c>
      <c r="P107" s="172">
        <f>SUM(P7:P106)</f>
        <v>0</v>
      </c>
    </row>
  </sheetData>
  <sheetProtection password="D78B" sheet="1" scenarios="1"/>
  <mergeCells count="10">
    <mergeCell ref="I107:J107"/>
    <mergeCell ref="I71:J71"/>
    <mergeCell ref="I78:J78"/>
    <mergeCell ref="I95:J95"/>
    <mergeCell ref="I51:J51"/>
    <mergeCell ref="G1:H1"/>
    <mergeCell ref="I1:J1"/>
    <mergeCell ref="G3:H3"/>
    <mergeCell ref="I26:J26"/>
    <mergeCell ref="I36:J36"/>
  </mergeCells>
  <phoneticPr fontId="4" type="noConversion"/>
  <conditionalFormatting sqref="I107:J107 N97:N106 M97:M107 M80:M89 M91:M95 M28:M36 M7:M26 I95:J95 M73:M78 M38:M51 M53:M71">
    <cfRule type="cellIs" dxfId="1" priority="1" stopIfTrue="1" operator="lessThan">
      <formula>0</formula>
    </cfRule>
  </conditionalFormatting>
  <conditionalFormatting sqref="I1:J1">
    <cfRule type="cellIs" dxfId="0" priority="2" stopIfTrue="1" operator="lessThan">
      <formula>0</formula>
    </cfRule>
  </conditionalFormatting>
  <dataValidations count="13">
    <dataValidation type="decimal" allowBlank="1" showInputMessage="1" showErrorMessage="1" errorTitle="Percentage error" error="Please enter a value between 0 and 100%" sqref="H97:H106 H91:H94 H80:H89 H73:H77 H38:H50 H53:H70 H28:H35 H7:H25">
      <formula1>0</formula1>
      <formula2>1</formula2>
    </dataValidation>
    <dataValidation type="list" allowBlank="1" showInputMessage="1" showErrorMessage="1" sqref="B97:B106">
      <formula1>organisation</formula1>
    </dataValidation>
    <dataValidation type="decimal" operator="greaterThanOrEqual" allowBlank="1" showInputMessage="1" showErrorMessage="1" sqref="C97:C106">
      <formula1>0</formula1>
    </dataValidation>
    <dataValidation type="whole" operator="greaterThan" allowBlank="1" showInputMessage="1" showErrorMessage="1" sqref="I97:I106 L33:L35 I33 I35">
      <formula1>0</formula1>
    </dataValidation>
    <dataValidation type="list" allowBlank="1" showInputMessage="1" showErrorMessage="1" sqref="E97:E106">
      <formula1>category</formula1>
    </dataValidation>
    <dataValidation type="decimal" allowBlank="1" showInputMessage="1" showErrorMessage="1" errorTitle="Unit cost error" error="Please enter only numbers between 0 and 100." sqref="I27 I72:I73 I77 I75 I79 I52:I55 I57:I70 I37:I50">
      <formula1>0</formula1>
      <formula2>100</formula2>
    </dataValidation>
    <dataValidation type="decimal" allowBlank="1" showInputMessage="1" showErrorMessage="1" sqref="E80:E94 E38:E50 E53:E70 E28:E35 E7:E25 E73:E77">
      <formula1>1</formula1>
      <formula2>10000000</formula2>
    </dataValidation>
    <dataValidation type="decimal" allowBlank="1" showInputMessage="1" showErrorMessage="1" errorTitle="Unit cost error" error="Please enter only numbers between 0 and 100." sqref="I91:I94 I80:I89 I76 I74 I56">
      <formula1>0</formula1>
      <formula2>1000</formula2>
    </dataValidation>
    <dataValidation type="whole" operator="greaterThanOrEqual" allowBlank="1" showInputMessage="1" showErrorMessage="1" sqref="L73:L77 L80:L89 L91:L94 L38:L50 L53:L70 L28:L32 L7:L25 L97:L106">
      <formula1>0</formula1>
    </dataValidation>
    <dataValidation type="decimal" operator="greaterThan" allowBlank="1" showInputMessage="1" showErrorMessage="1" sqref="I34">
      <formula1>0</formula1>
    </dataValidation>
    <dataValidation type="decimal" allowBlank="1" showInputMessage="1" showErrorMessage="1" error="Please enter a value between 1 and 0" sqref="I29:I31">
      <formula1>0</formula1>
      <formula2>1</formula2>
    </dataValidation>
    <dataValidation type="whole" allowBlank="1" showInputMessage="1" showErrorMessage="1" sqref="I7:I25">
      <formula1>0</formula1>
      <formula2>10000</formula2>
    </dataValidation>
    <dataValidation type="whole" operator="greaterThan" allowBlank="1" showInputMessage="1" showErrorMessage="1" error="Please enter a value between 1 and 0" sqref="I28 I32">
      <formula1>0</formula1>
    </dataValidation>
  </dataValidations>
  <printOptions headings="1"/>
  <pageMargins left="0.74803149606299213" right="0.74803149606299213" top="0.98425196850393704" bottom="0.98425196850393704" header="0.51181102362204722" footer="0.51181102362204722"/>
  <pageSetup paperSize="9" scale="59" orientation="landscape" r:id="rId1"/>
  <headerFooter alignWithMargins="0"/>
  <rowBreaks count="1" manualBreakCount="1">
    <brk id="51" max="16383" man="1"/>
  </rowBreaks>
  <drawing r:id="rId2"/>
  <legacyDrawing r:id="rId3"/>
  <controls>
    <mc:AlternateContent xmlns:mc="http://schemas.openxmlformats.org/markup-compatibility/2006">
      <mc:Choice Requires="x14">
        <control shapeId="228366" r:id="rId4" name="btnHome">
          <controlPr autoLine="0" r:id="rId5">
            <anchor moveWithCells="1">
              <from>
                <xdr:col>0</xdr:col>
                <xdr:colOff>2581275</xdr:colOff>
                <xdr:row>1</xdr:row>
                <xdr:rowOff>57150</xdr:rowOff>
              </from>
              <to>
                <xdr:col>0</xdr:col>
                <xdr:colOff>3114675</xdr:colOff>
                <xdr:row>2</xdr:row>
                <xdr:rowOff>190500</xdr:rowOff>
              </to>
            </anchor>
          </controlPr>
        </control>
      </mc:Choice>
      <mc:Fallback>
        <control shapeId="228366" r:id="rId4" name="btnHome"/>
      </mc:Fallback>
    </mc:AlternateContent>
    <mc:AlternateContent xmlns:mc="http://schemas.openxmlformats.org/markup-compatibility/2006">
      <mc:Choice Requires="x14">
        <control shapeId="228353" r:id="rId6" name="btnClear">
          <controlPr autoLine="0" r:id="rId7">
            <anchor moveWithCells="1">
              <from>
                <xdr:col>0</xdr:col>
                <xdr:colOff>104775</xdr:colOff>
                <xdr:row>4</xdr:row>
                <xdr:rowOff>142875</xdr:rowOff>
              </from>
              <to>
                <xdr:col>0</xdr:col>
                <xdr:colOff>742950</xdr:colOff>
                <xdr:row>4</xdr:row>
                <xdr:rowOff>390525</xdr:rowOff>
              </to>
            </anchor>
          </controlPr>
        </control>
      </mc:Choice>
      <mc:Fallback>
        <control shapeId="228353" r:id="rId6" name="btnClear"/>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32"/>
  </sheetPr>
  <dimension ref="A1:J42"/>
  <sheetViews>
    <sheetView showRowColHeaders="0" topLeftCell="A7" workbookViewId="0">
      <selection activeCell="L52" sqref="L52"/>
    </sheetView>
  </sheetViews>
  <sheetFormatPr defaultRowHeight="12.75" x14ac:dyDescent="0.2"/>
  <cols>
    <col min="1" max="1" width="3.85546875" style="4" customWidth="1"/>
    <col min="2" max="2" width="3.42578125" style="4" customWidth="1"/>
    <col min="3" max="3" width="31.28515625" style="4" bestFit="1" customWidth="1"/>
    <col min="4" max="4" width="18.42578125" style="92" bestFit="1" customWidth="1"/>
    <col min="5" max="5" width="3.7109375" style="4" customWidth="1"/>
    <col min="6" max="6" width="3.5703125" style="4" customWidth="1"/>
    <col min="7" max="7" width="2.7109375" style="4" customWidth="1"/>
    <col min="8" max="8" width="37.7109375" style="4" customWidth="1"/>
    <col min="9" max="9" width="10" style="4" customWidth="1"/>
    <col min="10" max="10" width="3.140625" style="4" customWidth="1"/>
    <col min="11" max="16384" width="9.140625" style="4"/>
  </cols>
  <sheetData>
    <row r="1" spans="1:10" ht="13.5" thickBot="1" x14ac:dyDescent="0.25">
      <c r="A1" s="1"/>
    </row>
    <row r="2" spans="1:10" ht="9" customHeight="1" x14ac:dyDescent="0.2">
      <c r="B2" s="128"/>
      <c r="C2" s="129"/>
      <c r="D2" s="130"/>
      <c r="E2" s="131"/>
      <c r="G2" s="128"/>
      <c r="H2" s="129"/>
      <c r="I2" s="129"/>
      <c r="J2" s="131"/>
    </row>
    <row r="3" spans="1:10" ht="15.75" thickBot="1" x14ac:dyDescent="0.3">
      <c r="B3" s="132"/>
      <c r="C3" s="151" t="s">
        <v>187</v>
      </c>
      <c r="D3" s="133"/>
      <c r="E3" s="134"/>
      <c r="G3" s="135"/>
      <c r="H3" s="151" t="s">
        <v>84</v>
      </c>
      <c r="I3" s="133"/>
      <c r="J3" s="134"/>
    </row>
    <row r="4" spans="1:10" ht="15" thickBot="1" x14ac:dyDescent="0.25">
      <c r="B4" s="135"/>
      <c r="C4" s="152" t="s">
        <v>171</v>
      </c>
      <c r="D4" s="136"/>
      <c r="E4" s="134"/>
      <c r="G4" s="135"/>
      <c r="H4" s="154" t="s">
        <v>198</v>
      </c>
      <c r="I4" s="295"/>
      <c r="J4" s="134"/>
    </row>
    <row r="5" spans="1:10" ht="14.25" x14ac:dyDescent="0.2">
      <c r="B5" s="137"/>
      <c r="C5" s="153" t="s">
        <v>188</v>
      </c>
      <c r="D5" s="317"/>
      <c r="E5" s="134"/>
      <c r="G5" s="135"/>
      <c r="H5" s="109"/>
      <c r="I5" s="147"/>
      <c r="J5" s="134"/>
    </row>
    <row r="6" spans="1:10" ht="15" x14ac:dyDescent="0.25">
      <c r="B6" s="137"/>
      <c r="C6" s="153" t="s">
        <v>172</v>
      </c>
      <c r="D6" s="318"/>
      <c r="E6" s="134"/>
      <c r="G6" s="135"/>
      <c r="H6" s="155" t="s">
        <v>245</v>
      </c>
      <c r="I6" s="148">
        <f>IF(I4&gt;0,D34/I4,)</f>
        <v>0</v>
      </c>
      <c r="J6" s="134"/>
    </row>
    <row r="7" spans="1:10" ht="13.5" thickBot="1" x14ac:dyDescent="0.25">
      <c r="B7" s="137"/>
      <c r="C7" s="153" t="s">
        <v>173</v>
      </c>
      <c r="D7" s="318"/>
      <c r="E7" s="134"/>
      <c r="G7" s="150"/>
      <c r="H7" s="149"/>
      <c r="I7" s="149"/>
      <c r="J7" s="146"/>
    </row>
    <row r="8" spans="1:10" ht="13.5" thickBot="1" x14ac:dyDescent="0.25">
      <c r="B8" s="137"/>
      <c r="C8" s="153" t="s">
        <v>174</v>
      </c>
      <c r="D8" s="319"/>
      <c r="E8" s="134"/>
    </row>
    <row r="9" spans="1:10" ht="15" x14ac:dyDescent="0.25">
      <c r="B9" s="137"/>
      <c r="C9" s="152" t="s">
        <v>68</v>
      </c>
      <c r="D9" s="138">
        <f>SUBTOTAL(9,D5:D8)</f>
        <v>0</v>
      </c>
      <c r="E9" s="134"/>
      <c r="G9" s="274"/>
      <c r="H9" s="275" t="s">
        <v>315</v>
      </c>
      <c r="I9" s="276"/>
      <c r="J9" s="277"/>
    </row>
    <row r="10" spans="1:10" ht="13.5" thickBot="1" x14ac:dyDescent="0.25">
      <c r="B10" s="137"/>
      <c r="C10" s="152"/>
      <c r="D10" s="139"/>
      <c r="E10" s="134"/>
      <c r="G10" s="278"/>
      <c r="H10" s="28"/>
      <c r="I10" s="28"/>
      <c r="J10" s="279"/>
    </row>
    <row r="11" spans="1:10" ht="13.5" thickBot="1" x14ac:dyDescent="0.25">
      <c r="B11" s="135"/>
      <c r="C11" s="152" t="s">
        <v>175</v>
      </c>
      <c r="D11" s="140"/>
      <c r="E11" s="134"/>
      <c r="G11" s="278"/>
      <c r="H11" s="285" t="s">
        <v>316</v>
      </c>
      <c r="I11" s="286"/>
      <c r="J11" s="279"/>
    </row>
    <row r="12" spans="1:10" ht="13.5" thickBot="1" x14ac:dyDescent="0.25">
      <c r="B12" s="141"/>
      <c r="C12" s="153" t="s">
        <v>176</v>
      </c>
      <c r="D12" s="317"/>
      <c r="E12" s="134"/>
      <c r="G12" s="278"/>
      <c r="H12" s="287" t="s">
        <v>317</v>
      </c>
      <c r="I12" s="288"/>
      <c r="J12" s="279"/>
    </row>
    <row r="13" spans="1:10" x14ac:dyDescent="0.2">
      <c r="B13" s="137"/>
      <c r="C13" s="153" t="s">
        <v>177</v>
      </c>
      <c r="D13" s="318"/>
      <c r="E13" s="134"/>
      <c r="G13" s="278"/>
      <c r="H13" s="28"/>
      <c r="I13" s="28"/>
      <c r="J13" s="279"/>
    </row>
    <row r="14" spans="1:10" x14ac:dyDescent="0.2">
      <c r="B14" s="137"/>
      <c r="C14" s="153" t="s">
        <v>196</v>
      </c>
      <c r="D14" s="318"/>
      <c r="E14" s="134"/>
      <c r="G14" s="278"/>
      <c r="H14" s="28"/>
      <c r="I14" s="28"/>
      <c r="J14" s="279"/>
    </row>
    <row r="15" spans="1:10" ht="13.5" thickBot="1" x14ac:dyDescent="0.25">
      <c r="B15" s="137"/>
      <c r="C15" s="153" t="s">
        <v>190</v>
      </c>
      <c r="D15" s="318"/>
      <c r="E15" s="134"/>
      <c r="G15" s="280"/>
      <c r="H15" s="281"/>
      <c r="I15" s="281"/>
      <c r="J15" s="282"/>
    </row>
    <row r="16" spans="1:10" x14ac:dyDescent="0.2">
      <c r="B16" s="137"/>
      <c r="C16" s="153" t="s">
        <v>189</v>
      </c>
      <c r="D16" s="318"/>
      <c r="E16" s="134"/>
    </row>
    <row r="17" spans="2:5" ht="13.5" thickBot="1" x14ac:dyDescent="0.25">
      <c r="B17" s="137"/>
      <c r="C17" s="153" t="s">
        <v>178</v>
      </c>
      <c r="D17" s="319"/>
      <c r="E17" s="134"/>
    </row>
    <row r="18" spans="2:5" x14ac:dyDescent="0.2">
      <c r="B18" s="137"/>
      <c r="C18" s="152" t="s">
        <v>68</v>
      </c>
      <c r="D18" s="138">
        <f>SUBTOTAL(9,D12:D17)</f>
        <v>0</v>
      </c>
      <c r="E18" s="134"/>
    </row>
    <row r="19" spans="2:5" x14ac:dyDescent="0.2">
      <c r="B19" s="137"/>
      <c r="C19" s="152"/>
      <c r="D19" s="139"/>
      <c r="E19" s="134"/>
    </row>
    <row r="20" spans="2:5" ht="15" thickBot="1" x14ac:dyDescent="0.25">
      <c r="B20" s="137"/>
      <c r="C20" s="152" t="s">
        <v>179</v>
      </c>
      <c r="D20" s="142"/>
      <c r="E20" s="134"/>
    </row>
    <row r="21" spans="2:5" x14ac:dyDescent="0.2">
      <c r="B21" s="135"/>
      <c r="C21" s="153" t="s">
        <v>191</v>
      </c>
      <c r="D21" s="317"/>
      <c r="E21" s="134"/>
    </row>
    <row r="22" spans="2:5" x14ac:dyDescent="0.2">
      <c r="B22" s="137"/>
      <c r="C22" s="153" t="s">
        <v>183</v>
      </c>
      <c r="D22" s="318"/>
      <c r="E22" s="134"/>
    </row>
    <row r="23" spans="2:5" x14ac:dyDescent="0.2">
      <c r="B23" s="137"/>
      <c r="C23" s="153" t="s">
        <v>180</v>
      </c>
      <c r="D23" s="318"/>
      <c r="E23" s="134"/>
    </row>
    <row r="24" spans="2:5" x14ac:dyDescent="0.2">
      <c r="B24" s="137"/>
      <c r="C24" s="153" t="s">
        <v>197</v>
      </c>
      <c r="D24" s="318"/>
      <c r="E24" s="134"/>
    </row>
    <row r="25" spans="2:5" x14ac:dyDescent="0.2">
      <c r="B25" s="137"/>
      <c r="C25" s="153" t="s">
        <v>181</v>
      </c>
      <c r="D25" s="318"/>
      <c r="E25" s="134"/>
    </row>
    <row r="26" spans="2:5" x14ac:dyDescent="0.2">
      <c r="B26" s="137"/>
      <c r="C26" s="153" t="s">
        <v>192</v>
      </c>
      <c r="D26" s="318"/>
      <c r="E26" s="134"/>
    </row>
    <row r="27" spans="2:5" x14ac:dyDescent="0.2">
      <c r="B27" s="137"/>
      <c r="C27" s="153" t="s">
        <v>182</v>
      </c>
      <c r="D27" s="318"/>
      <c r="E27" s="134"/>
    </row>
    <row r="28" spans="2:5" x14ac:dyDescent="0.2">
      <c r="B28" s="137"/>
      <c r="C28" s="153" t="s">
        <v>193</v>
      </c>
      <c r="D28" s="318"/>
      <c r="E28" s="134"/>
    </row>
    <row r="29" spans="2:5" x14ac:dyDescent="0.2">
      <c r="B29" s="137"/>
      <c r="C29" s="153" t="s">
        <v>184</v>
      </c>
      <c r="D29" s="318"/>
      <c r="E29" s="134"/>
    </row>
    <row r="30" spans="2:5" ht="13.5" thickBot="1" x14ac:dyDescent="0.25">
      <c r="B30" s="137"/>
      <c r="C30" s="153" t="s">
        <v>194</v>
      </c>
      <c r="D30" s="319"/>
      <c r="E30" s="134"/>
    </row>
    <row r="31" spans="2:5" x14ac:dyDescent="0.2">
      <c r="B31" s="137"/>
      <c r="C31" s="152" t="s">
        <v>68</v>
      </c>
      <c r="D31" s="138">
        <f>SUM(D21:D30)</f>
        <v>0</v>
      </c>
      <c r="E31" s="134"/>
    </row>
    <row r="32" spans="2:5" ht="13.5" thickBot="1" x14ac:dyDescent="0.25">
      <c r="B32" s="143"/>
      <c r="C32" s="144"/>
      <c r="D32" s="145"/>
      <c r="E32" s="146"/>
    </row>
    <row r="33" spans="2:5" x14ac:dyDescent="0.2">
      <c r="B33" s="83"/>
      <c r="E33" s="84"/>
    </row>
    <row r="34" spans="2:5" ht="15" x14ac:dyDescent="0.25">
      <c r="B34" s="93"/>
      <c r="C34" s="94" t="s">
        <v>185</v>
      </c>
      <c r="D34" s="320">
        <f>SUM(D9)+D18+D31</f>
        <v>0</v>
      </c>
      <c r="E34" s="84"/>
    </row>
    <row r="35" spans="2:5" ht="15" x14ac:dyDescent="0.25">
      <c r="B35" s="93"/>
      <c r="C35" s="94" t="s">
        <v>204</v>
      </c>
      <c r="D35" s="95">
        <f>D34/12</f>
        <v>0</v>
      </c>
      <c r="E35" s="84"/>
    </row>
    <row r="36" spans="2:5" ht="15" x14ac:dyDescent="0.25">
      <c r="B36" s="93"/>
      <c r="C36" s="94" t="s">
        <v>186</v>
      </c>
      <c r="D36" s="95">
        <f>D34/52</f>
        <v>0</v>
      </c>
      <c r="E36" s="84"/>
    </row>
    <row r="37" spans="2:5" ht="15" x14ac:dyDescent="0.25">
      <c r="B37" s="93"/>
      <c r="C37" s="94" t="s">
        <v>195</v>
      </c>
      <c r="D37" s="95">
        <f>D34/365</f>
        <v>0</v>
      </c>
      <c r="E37" s="84"/>
    </row>
    <row r="38" spans="2:5" ht="13.5" thickBot="1" x14ac:dyDescent="0.25">
      <c r="B38" s="85"/>
      <c r="C38" s="86"/>
      <c r="D38" s="96"/>
      <c r="E38" s="87"/>
    </row>
    <row r="39" spans="2:5" x14ac:dyDescent="0.2">
      <c r="D39" s="4"/>
    </row>
    <row r="40" spans="2:5" ht="18" x14ac:dyDescent="0.2">
      <c r="C40" s="127" t="s">
        <v>210</v>
      </c>
      <c r="D40" s="4"/>
    </row>
    <row r="41" spans="2:5" x14ac:dyDescent="0.2">
      <c r="D41" s="4"/>
    </row>
    <row r="42" spans="2:5" x14ac:dyDescent="0.2">
      <c r="C42" s="284"/>
      <c r="D42" s="283"/>
    </row>
  </sheetData>
  <sheetProtection password="D78B" sheet="1" scenarios="1"/>
  <phoneticPr fontId="4" type="noConversion"/>
  <dataValidations count="1">
    <dataValidation type="whole" operator="greaterThanOrEqual" allowBlank="1" showInputMessage="1" showErrorMessage="1" sqref="I4">
      <formula1>0</formula1>
    </dataValidation>
  </dataValidations>
  <pageMargins left="0.75" right="0.75" top="1" bottom="1" header="0.5" footer="0.5"/>
  <pageSetup paperSize="9" orientation="portrait" r:id="rId1"/>
  <headerFooter alignWithMargins="0"/>
  <drawing r:id="rId2"/>
  <legacyDrawing r:id="rId3"/>
  <controls>
    <mc:AlternateContent xmlns:mc="http://schemas.openxmlformats.org/markup-compatibility/2006">
      <mc:Choice Requires="x14">
        <control shapeId="188424" r:id="rId4" name="Select_Input">
          <controlPr defaultSize="0" autoLine="0" r:id="rId5">
            <anchor moveWithCells="1">
              <from>
                <xdr:col>7</xdr:col>
                <xdr:colOff>9525</xdr:colOff>
                <xdr:row>12</xdr:row>
                <xdr:rowOff>133350</xdr:rowOff>
              </from>
              <to>
                <xdr:col>7</xdr:col>
                <xdr:colOff>1895475</xdr:colOff>
                <xdr:row>14</xdr:row>
                <xdr:rowOff>47625</xdr:rowOff>
              </to>
            </anchor>
          </controlPr>
        </control>
      </mc:Choice>
      <mc:Fallback>
        <control shapeId="188424" r:id="rId4" name="Select_Input"/>
      </mc:Fallback>
    </mc:AlternateContent>
    <mc:AlternateContent xmlns:mc="http://schemas.openxmlformats.org/markup-compatibility/2006">
      <mc:Choice Requires="x14">
        <control shapeId="188419" r:id="rId6" name="btnHome">
          <controlPr autoLine="0" r:id="rId7">
            <anchor moveWithCells="1">
              <from>
                <xdr:col>2</xdr:col>
                <xdr:colOff>2009775</xdr:colOff>
                <xdr:row>1</xdr:row>
                <xdr:rowOff>104775</xdr:rowOff>
              </from>
              <to>
                <xdr:col>3</xdr:col>
                <xdr:colOff>428625</xdr:colOff>
                <xdr:row>3</xdr:row>
                <xdr:rowOff>47625</xdr:rowOff>
              </to>
            </anchor>
          </controlPr>
        </control>
      </mc:Choice>
      <mc:Fallback>
        <control shapeId="188419" r:id="rId6" name="btnHome"/>
      </mc:Fallback>
    </mc:AlternateContent>
    <mc:AlternateContent xmlns:mc="http://schemas.openxmlformats.org/markup-compatibility/2006">
      <mc:Choice Requires="x14">
        <control shapeId="188418" r:id="rId8" name="btnClear">
          <controlPr autoLine="0" r:id="rId9">
            <anchor moveWithCells="1">
              <from>
                <xdr:col>3</xdr:col>
                <xdr:colOff>504825</xdr:colOff>
                <xdr:row>1</xdr:row>
                <xdr:rowOff>104775</xdr:rowOff>
              </from>
              <to>
                <xdr:col>3</xdr:col>
                <xdr:colOff>1009650</xdr:colOff>
                <xdr:row>3</xdr:row>
                <xdr:rowOff>47625</xdr:rowOff>
              </to>
            </anchor>
          </controlPr>
        </control>
      </mc:Choice>
      <mc:Fallback>
        <control shapeId="188418" r:id="rId8" name="btnClear"/>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32"/>
  </sheetPr>
  <dimension ref="A1:R107"/>
  <sheetViews>
    <sheetView tabSelected="1" zoomScale="85" zoomScaleNormal="100" workbookViewId="0">
      <pane xSplit="1" ySplit="5" topLeftCell="B66" activePane="bottomRight" state="frozen"/>
      <selection pane="topRight" activeCell="B1" sqref="B1"/>
      <selection pane="bottomLeft" activeCell="A6" sqref="A6"/>
      <selection pane="bottomRight" activeCell="E86" sqref="E86"/>
    </sheetView>
  </sheetViews>
  <sheetFormatPr defaultRowHeight="12.75" x14ac:dyDescent="0.2"/>
  <cols>
    <col min="1" max="1" width="48.5703125" style="1" customWidth="1"/>
    <col min="2" max="2" width="17.7109375" style="169" bestFit="1" customWidth="1"/>
    <col min="3" max="3" width="17.5703125" style="169" customWidth="1"/>
    <col min="4" max="4" width="10.7109375" style="169" customWidth="1"/>
    <col min="5" max="5" width="13.7109375" style="169" customWidth="1"/>
    <col min="6" max="6" width="24" style="170" customWidth="1"/>
    <col min="7" max="7" width="10.42578125" style="171" customWidth="1"/>
    <col min="8" max="8" width="11.85546875" style="171" customWidth="1"/>
    <col min="9" max="9" width="13.28515625" style="189" customWidth="1"/>
    <col min="10" max="10" width="15.85546875" style="169" customWidth="1"/>
    <col min="11" max="11" width="2" style="1" customWidth="1"/>
    <col min="12" max="12" width="13.85546875" style="1" customWidth="1"/>
    <col min="13" max="13" width="15.85546875" style="1" customWidth="1"/>
    <col min="14" max="14" width="19.7109375" style="1" customWidth="1"/>
    <col min="15" max="16" width="11.28515625" style="1" hidden="1" customWidth="1"/>
    <col min="17" max="17" width="0" style="1" hidden="1" customWidth="1"/>
    <col min="18" max="16384" width="9.140625" style="1"/>
  </cols>
  <sheetData>
    <row r="1" spans="1:18" ht="15.75" thickBot="1" x14ac:dyDescent="0.25">
      <c r="A1" s="190"/>
      <c r="B1" s="191"/>
      <c r="C1" s="191"/>
      <c r="D1" s="192"/>
      <c r="E1" s="192"/>
      <c r="F1" s="193"/>
      <c r="G1" s="344" t="s">
        <v>313</v>
      </c>
      <c r="H1" s="345"/>
      <c r="I1" s="346">
        <f>IF(chkpostint=FALSE,SUM(sumcrimeasb,sumeducation,sumhealthcare,sumhousing,sumdrugs,sumsocialcare,sumextralines),SUM(sumcrimeasb_actual,sumeducation_actual,sumhealthcare_actual,sumhousing_actual,sumdrugs_actual,sumsocialcare_actual,sumextralines_actual))</f>
        <v>0</v>
      </c>
      <c r="J1" s="347"/>
      <c r="K1" s="196" t="b">
        <f>IF(COUNTIF(L:L,"&gt;0"),TRUE,FALSE)</f>
        <v>0</v>
      </c>
      <c r="L1" s="160"/>
      <c r="M1" s="160"/>
    </row>
    <row r="2" spans="1:18" ht="13.5" thickBot="1" x14ac:dyDescent="0.25">
      <c r="A2" s="191"/>
      <c r="B2" s="192"/>
      <c r="C2" s="192"/>
      <c r="D2" s="192"/>
      <c r="E2" s="192"/>
      <c r="F2" s="193"/>
      <c r="G2" s="194"/>
      <c r="H2" s="194"/>
      <c r="I2" s="192"/>
      <c r="J2" s="192"/>
      <c r="K2" s="191"/>
      <c r="L2" s="191"/>
      <c r="M2" s="191"/>
    </row>
    <row r="3" spans="1:18" ht="21" thickBot="1" x14ac:dyDescent="0.35">
      <c r="A3" s="191"/>
      <c r="B3" s="192"/>
      <c r="C3" s="195"/>
      <c r="D3" s="195"/>
      <c r="E3" s="192"/>
      <c r="F3" s="193"/>
      <c r="G3" s="348" t="s">
        <v>70</v>
      </c>
      <c r="H3" s="348"/>
      <c r="I3" s="198"/>
      <c r="J3" s="197"/>
      <c r="K3" s="191"/>
      <c r="L3" s="191"/>
      <c r="M3" s="191"/>
    </row>
    <row r="4" spans="1:18" ht="56.25" customHeight="1" thickBot="1" x14ac:dyDescent="0.35">
      <c r="A4" s="191"/>
      <c r="B4" s="192"/>
      <c r="C4" s="195"/>
      <c r="D4" s="192"/>
      <c r="E4" s="195" t="s">
        <v>211</v>
      </c>
      <c r="F4" s="193"/>
      <c r="G4" s="194"/>
      <c r="H4" s="194"/>
      <c r="I4" s="192"/>
      <c r="J4" s="192"/>
      <c r="K4" s="191"/>
      <c r="L4" s="191"/>
      <c r="M4" s="191"/>
    </row>
    <row r="5" spans="1:18" ht="54.75" customHeight="1" thickBot="1" x14ac:dyDescent="0.25">
      <c r="A5" s="199"/>
      <c r="B5" s="200" t="s">
        <v>0</v>
      </c>
      <c r="C5" s="200" t="s">
        <v>1</v>
      </c>
      <c r="D5" s="200"/>
      <c r="E5" s="200" t="s">
        <v>69</v>
      </c>
      <c r="F5" s="200" t="s">
        <v>2</v>
      </c>
      <c r="G5" s="300" t="s">
        <v>314</v>
      </c>
      <c r="H5" s="300" t="s">
        <v>98</v>
      </c>
      <c r="I5" s="200" t="s">
        <v>156</v>
      </c>
      <c r="J5" s="200" t="s">
        <v>67</v>
      </c>
      <c r="K5" s="249"/>
      <c r="L5" s="200" t="s">
        <v>157</v>
      </c>
      <c r="M5" s="200" t="s">
        <v>158</v>
      </c>
      <c r="Q5" s="305"/>
      <c r="R5" s="305"/>
    </row>
    <row r="6" spans="1:18" ht="18.75" thickBot="1" x14ac:dyDescent="0.25">
      <c r="A6" s="296" t="s">
        <v>3</v>
      </c>
      <c r="B6" s="297"/>
      <c r="C6" s="297"/>
      <c r="D6" s="297"/>
      <c r="E6" s="297"/>
      <c r="F6" s="297"/>
      <c r="G6" s="201"/>
      <c r="H6" s="201"/>
      <c r="I6" s="202"/>
      <c r="J6" s="203"/>
      <c r="K6" s="4"/>
    </row>
    <row r="7" spans="1:18" ht="13.5" thickBot="1" x14ac:dyDescent="0.25">
      <c r="A7" s="204" t="s">
        <v>4</v>
      </c>
      <c r="B7" s="205" t="s">
        <v>5</v>
      </c>
      <c r="C7" s="206">
        <v>5699</v>
      </c>
      <c r="D7" s="207">
        <f>C7</f>
        <v>5699</v>
      </c>
      <c r="E7" s="208"/>
      <c r="F7" s="209" t="s">
        <v>271</v>
      </c>
      <c r="G7" s="210">
        <f>IF(L7&gt;0,IF(I7&gt;0,(I7-L7)/I7,0),IF(L7="",0,IF(I7&gt;0,I7/I7,0)))</f>
        <v>0</v>
      </c>
      <c r="H7" s="211"/>
      <c r="I7" s="212"/>
      <c r="J7" s="213" t="str">
        <f>IF(AND(ISNUMBER(L7),OR(L7&lt;&gt;0,L7&lt;&gt;"")),IF(AND(ISNUMBER(I7),OR(I7&lt;&gt;0,I7&lt;&gt;"")),IF(E7&gt;0,E7*G7*I7,I7*D7*G7),""),IF(AND(ISNUMBER(I7),OR(I7&lt;&gt;0,I7&lt;&gt;"")),IF(E7&gt;0,IF(H7&gt;0,E7*H7*I7,E7*G7*I7),IF(H7&gt;0,I7*D7*H7,I7*D7*G7)),""))</f>
        <v/>
      </c>
      <c r="K7" s="4"/>
      <c r="L7" s="212"/>
      <c r="M7" s="213" t="str">
        <f>IF(OR(I7&gt;0,L7&gt;0),IF(E7&gt;0,(I7-L7)*E7,(I7-L7)*D7),"")</f>
        <v/>
      </c>
      <c r="O7" s="172">
        <f t="shared" ref="O7:O25" si="0">IF(E7&gt;0,I7*E7,I7*D7)</f>
        <v>0</v>
      </c>
      <c r="P7" s="172">
        <f t="shared" ref="P7:P25" si="1">IF(E7&gt;0,L7*E7,L7*D7)</f>
        <v>0</v>
      </c>
    </row>
    <row r="8" spans="1:18" ht="13.5" thickBot="1" x14ac:dyDescent="0.25">
      <c r="A8" s="214" t="s">
        <v>6</v>
      </c>
      <c r="B8" s="205" t="s">
        <v>7</v>
      </c>
      <c r="C8" s="206">
        <v>330</v>
      </c>
      <c r="D8" s="207">
        <f>C8</f>
        <v>330</v>
      </c>
      <c r="E8" s="208"/>
      <c r="F8" s="209" t="s">
        <v>272</v>
      </c>
      <c r="G8" s="210">
        <f t="shared" ref="G8:G25" si="2">IF(L8&gt;0,IF(I8&gt;0,(I8-L8)/I8,0),IF(L8="",0,IF(I8&gt;0,I8/I8,0)))</f>
        <v>0</v>
      </c>
      <c r="H8" s="211"/>
      <c r="I8" s="212"/>
      <c r="J8" s="213" t="str">
        <f t="shared" ref="J8:J25" si="3">IF(AND(ISNUMBER(L8),OR(L8&lt;&gt;0,L8&lt;&gt;"")),IF(AND(ISNUMBER(I8),OR(I8&lt;&gt;0,I8&lt;&gt;"")),IF(E8&gt;0,E8*G8*I8,I8*D8*G8),""),IF(AND(ISNUMBER(I8),OR(I8&lt;&gt;0,I8&lt;&gt;"")),IF(E8&gt;0,IF(H8&gt;0,E8*H8*I8,E8*G8*I8),IF(H8&gt;0,I8*D8*H8,I8*D8*G8)),""))</f>
        <v/>
      </c>
      <c r="K8" s="4"/>
      <c r="L8" s="212"/>
      <c r="M8" s="213" t="str">
        <f t="shared" ref="M8:M25" si="4">IF(OR(I8&gt;0,L8&gt;0),IF(E8&gt;0,(I8-L8)*E8,(I8-L8)*D8),"")</f>
        <v/>
      </c>
      <c r="O8" s="172">
        <f t="shared" si="0"/>
        <v>0</v>
      </c>
      <c r="P8" s="172">
        <f t="shared" si="1"/>
        <v>0</v>
      </c>
    </row>
    <row r="9" spans="1:18" ht="13.5" thickBot="1" x14ac:dyDescent="0.25">
      <c r="A9" s="204" t="s">
        <v>8</v>
      </c>
      <c r="B9" s="205" t="s">
        <v>7</v>
      </c>
      <c r="C9" s="206">
        <v>2293</v>
      </c>
      <c r="D9" s="207">
        <f>C9</f>
        <v>2293</v>
      </c>
      <c r="E9" s="208"/>
      <c r="F9" s="209" t="s">
        <v>273</v>
      </c>
      <c r="G9" s="210">
        <f t="shared" si="2"/>
        <v>0</v>
      </c>
      <c r="H9" s="211"/>
      <c r="I9" s="212"/>
      <c r="J9" s="213" t="str">
        <f t="shared" si="3"/>
        <v/>
      </c>
      <c r="K9" s="4"/>
      <c r="L9" s="212"/>
      <c r="M9" s="213" t="str">
        <f t="shared" si="4"/>
        <v/>
      </c>
      <c r="O9" s="172">
        <f t="shared" si="0"/>
        <v>0</v>
      </c>
      <c r="P9" s="172">
        <f t="shared" si="1"/>
        <v>0</v>
      </c>
    </row>
    <row r="10" spans="1:18" ht="13.5" thickBot="1" x14ac:dyDescent="0.25">
      <c r="A10" s="215" t="s">
        <v>136</v>
      </c>
      <c r="B10" s="205" t="s">
        <v>5</v>
      </c>
      <c r="C10" s="206" t="s">
        <v>274</v>
      </c>
      <c r="D10" s="206">
        <v>33</v>
      </c>
      <c r="E10" s="208"/>
      <c r="F10" s="209" t="s">
        <v>275</v>
      </c>
      <c r="G10" s="210">
        <f t="shared" si="2"/>
        <v>0</v>
      </c>
      <c r="H10" s="211"/>
      <c r="I10" s="212"/>
      <c r="J10" s="213" t="str">
        <f t="shared" si="3"/>
        <v/>
      </c>
      <c r="K10" s="4"/>
      <c r="L10" s="212"/>
      <c r="M10" s="213" t="str">
        <f t="shared" si="4"/>
        <v/>
      </c>
      <c r="O10" s="172">
        <f t="shared" si="0"/>
        <v>0</v>
      </c>
      <c r="P10" s="172">
        <f t="shared" si="1"/>
        <v>0</v>
      </c>
    </row>
    <row r="11" spans="1:18" ht="13.5" thickBot="1" x14ac:dyDescent="0.25">
      <c r="A11" s="215" t="s">
        <v>159</v>
      </c>
      <c r="B11" s="205" t="s">
        <v>7</v>
      </c>
      <c r="C11" s="206">
        <v>876</v>
      </c>
      <c r="D11" s="207">
        <f>C11</f>
        <v>876</v>
      </c>
      <c r="E11" s="208"/>
      <c r="F11" s="209" t="s">
        <v>276</v>
      </c>
      <c r="G11" s="210">
        <f t="shared" si="2"/>
        <v>0</v>
      </c>
      <c r="H11" s="211"/>
      <c r="I11" s="212"/>
      <c r="J11" s="213" t="str">
        <f t="shared" si="3"/>
        <v/>
      </c>
      <c r="K11" s="4"/>
      <c r="L11" s="212"/>
      <c r="M11" s="213" t="str">
        <f t="shared" si="4"/>
        <v/>
      </c>
      <c r="O11" s="172">
        <f t="shared" si="0"/>
        <v>0</v>
      </c>
      <c r="P11" s="172">
        <f t="shared" si="1"/>
        <v>0</v>
      </c>
    </row>
    <row r="12" spans="1:18" ht="13.5" thickBot="1" x14ac:dyDescent="0.25">
      <c r="A12" s="204" t="s">
        <v>11</v>
      </c>
      <c r="B12" s="205" t="s">
        <v>12</v>
      </c>
      <c r="C12" s="206">
        <v>2387</v>
      </c>
      <c r="D12" s="207">
        <f>C12</f>
        <v>2387</v>
      </c>
      <c r="E12" s="208"/>
      <c r="F12" s="209" t="s">
        <v>277</v>
      </c>
      <c r="G12" s="210">
        <f t="shared" si="2"/>
        <v>0</v>
      </c>
      <c r="H12" s="211"/>
      <c r="I12" s="212"/>
      <c r="J12" s="213" t="str">
        <f t="shared" si="3"/>
        <v/>
      </c>
      <c r="K12" s="4"/>
      <c r="L12" s="212"/>
      <c r="M12" s="213" t="str">
        <f t="shared" si="4"/>
        <v/>
      </c>
      <c r="O12" s="172">
        <f t="shared" si="0"/>
        <v>0</v>
      </c>
      <c r="P12" s="172">
        <f t="shared" si="1"/>
        <v>0</v>
      </c>
    </row>
    <row r="13" spans="1:18" ht="13.5" thickBot="1" x14ac:dyDescent="0.25">
      <c r="A13" s="204" t="s">
        <v>213</v>
      </c>
      <c r="B13" s="205" t="s">
        <v>7</v>
      </c>
      <c r="C13" s="206">
        <v>114</v>
      </c>
      <c r="D13" s="207">
        <f>C13</f>
        <v>114</v>
      </c>
      <c r="E13" s="208"/>
      <c r="F13" s="209" t="s">
        <v>278</v>
      </c>
      <c r="G13" s="210">
        <f t="shared" si="2"/>
        <v>0</v>
      </c>
      <c r="H13" s="211"/>
      <c r="I13" s="212"/>
      <c r="J13" s="213" t="str">
        <f t="shared" si="3"/>
        <v/>
      </c>
      <c r="K13" s="4"/>
      <c r="L13" s="212"/>
      <c r="M13" s="213" t="str">
        <f t="shared" si="4"/>
        <v/>
      </c>
      <c r="O13" s="172">
        <f t="shared" si="0"/>
        <v>0</v>
      </c>
      <c r="P13" s="172">
        <f t="shared" si="1"/>
        <v>0</v>
      </c>
    </row>
    <row r="14" spans="1:18" ht="13.5" thickBot="1" x14ac:dyDescent="0.25">
      <c r="A14" s="204" t="s">
        <v>94</v>
      </c>
      <c r="B14" s="205" t="s">
        <v>7</v>
      </c>
      <c r="C14" s="206">
        <v>73</v>
      </c>
      <c r="D14" s="207">
        <f t="shared" ref="D14:D25" si="5">C14</f>
        <v>73</v>
      </c>
      <c r="E14" s="208"/>
      <c r="F14" s="209" t="s">
        <v>279</v>
      </c>
      <c r="G14" s="210">
        <f t="shared" si="2"/>
        <v>0</v>
      </c>
      <c r="H14" s="211"/>
      <c r="I14" s="212"/>
      <c r="J14" s="213" t="str">
        <f t="shared" si="3"/>
        <v/>
      </c>
      <c r="K14" s="4"/>
      <c r="L14" s="212"/>
      <c r="M14" s="213" t="str">
        <f t="shared" si="4"/>
        <v/>
      </c>
      <c r="O14" s="172">
        <f t="shared" si="0"/>
        <v>0</v>
      </c>
      <c r="P14" s="172">
        <f t="shared" si="1"/>
        <v>0</v>
      </c>
    </row>
    <row r="15" spans="1:18" ht="13.5" thickBot="1" x14ac:dyDescent="0.25">
      <c r="A15" s="204" t="s">
        <v>95</v>
      </c>
      <c r="B15" s="205" t="s">
        <v>14</v>
      </c>
      <c r="C15" s="206">
        <v>255</v>
      </c>
      <c r="D15" s="207">
        <f t="shared" si="5"/>
        <v>255</v>
      </c>
      <c r="E15" s="208"/>
      <c r="F15" s="209" t="s">
        <v>279</v>
      </c>
      <c r="G15" s="210">
        <f t="shared" si="2"/>
        <v>0</v>
      </c>
      <c r="H15" s="211"/>
      <c r="I15" s="212"/>
      <c r="J15" s="213" t="str">
        <f t="shared" si="3"/>
        <v/>
      </c>
      <c r="K15" s="4"/>
      <c r="L15" s="212"/>
      <c r="M15" s="213" t="str">
        <f t="shared" si="4"/>
        <v/>
      </c>
      <c r="O15" s="172">
        <f t="shared" si="0"/>
        <v>0</v>
      </c>
      <c r="P15" s="172">
        <f t="shared" si="1"/>
        <v>0</v>
      </c>
    </row>
    <row r="16" spans="1:18" ht="13.5" thickBot="1" x14ac:dyDescent="0.25">
      <c r="A16" s="204" t="s">
        <v>15</v>
      </c>
      <c r="B16" s="205" t="s">
        <v>14</v>
      </c>
      <c r="C16" s="206">
        <v>901</v>
      </c>
      <c r="D16" s="207">
        <f t="shared" si="5"/>
        <v>901</v>
      </c>
      <c r="E16" s="208"/>
      <c r="F16" s="209" t="s">
        <v>280</v>
      </c>
      <c r="G16" s="210">
        <f t="shared" si="2"/>
        <v>0</v>
      </c>
      <c r="H16" s="211"/>
      <c r="I16" s="212"/>
      <c r="J16" s="213" t="str">
        <f t="shared" si="3"/>
        <v/>
      </c>
      <c r="K16" s="4"/>
      <c r="L16" s="212"/>
      <c r="M16" s="213" t="str">
        <f t="shared" si="4"/>
        <v/>
      </c>
      <c r="O16" s="172">
        <f t="shared" si="0"/>
        <v>0</v>
      </c>
      <c r="P16" s="172">
        <f t="shared" si="1"/>
        <v>0</v>
      </c>
    </row>
    <row r="17" spans="1:16" ht="26.25" thickBot="1" x14ac:dyDescent="0.25">
      <c r="A17" s="215" t="s">
        <v>99</v>
      </c>
      <c r="B17" s="205" t="s">
        <v>14</v>
      </c>
      <c r="C17" s="206">
        <v>37095</v>
      </c>
      <c r="D17" s="207">
        <f t="shared" si="5"/>
        <v>37095</v>
      </c>
      <c r="E17" s="208"/>
      <c r="F17" s="209" t="s">
        <v>281</v>
      </c>
      <c r="G17" s="210">
        <f t="shared" si="2"/>
        <v>0</v>
      </c>
      <c r="H17" s="211"/>
      <c r="I17" s="212"/>
      <c r="J17" s="213" t="str">
        <f t="shared" si="3"/>
        <v/>
      </c>
      <c r="K17" s="4"/>
      <c r="L17" s="212"/>
      <c r="M17" s="213" t="str">
        <f t="shared" si="4"/>
        <v/>
      </c>
      <c r="O17" s="172">
        <f t="shared" si="0"/>
        <v>0</v>
      </c>
      <c r="P17" s="172">
        <f t="shared" si="1"/>
        <v>0</v>
      </c>
    </row>
    <row r="18" spans="1:16" ht="13.5" thickBot="1" x14ac:dyDescent="0.25">
      <c r="A18" s="204" t="s">
        <v>16</v>
      </c>
      <c r="B18" s="205" t="s">
        <v>14</v>
      </c>
      <c r="C18" s="206">
        <v>2144</v>
      </c>
      <c r="D18" s="207">
        <f t="shared" si="5"/>
        <v>2144</v>
      </c>
      <c r="E18" s="208"/>
      <c r="F18" s="209" t="s">
        <v>282</v>
      </c>
      <c r="G18" s="210">
        <f t="shared" si="2"/>
        <v>0</v>
      </c>
      <c r="H18" s="211"/>
      <c r="I18" s="212"/>
      <c r="J18" s="213" t="str">
        <f t="shared" si="3"/>
        <v/>
      </c>
      <c r="K18" s="4"/>
      <c r="L18" s="212"/>
      <c r="M18" s="213" t="str">
        <f t="shared" si="4"/>
        <v/>
      </c>
      <c r="O18" s="172">
        <f t="shared" si="0"/>
        <v>0</v>
      </c>
      <c r="P18" s="172">
        <f t="shared" si="1"/>
        <v>0</v>
      </c>
    </row>
    <row r="19" spans="1:16" ht="13.5" thickBot="1" x14ac:dyDescent="0.25">
      <c r="A19" s="204" t="s">
        <v>17</v>
      </c>
      <c r="B19" s="205" t="s">
        <v>14</v>
      </c>
      <c r="C19" s="206">
        <v>1326</v>
      </c>
      <c r="D19" s="207">
        <f t="shared" si="5"/>
        <v>1326</v>
      </c>
      <c r="E19" s="208"/>
      <c r="F19" s="209" t="s">
        <v>283</v>
      </c>
      <c r="G19" s="210">
        <f t="shared" si="2"/>
        <v>0</v>
      </c>
      <c r="H19" s="211"/>
      <c r="I19" s="212"/>
      <c r="J19" s="213" t="str">
        <f t="shared" si="3"/>
        <v/>
      </c>
      <c r="K19" s="4"/>
      <c r="L19" s="212"/>
      <c r="M19" s="213" t="str">
        <f t="shared" si="4"/>
        <v/>
      </c>
      <c r="O19" s="172">
        <f t="shared" si="0"/>
        <v>0</v>
      </c>
      <c r="P19" s="172">
        <f t="shared" si="1"/>
        <v>0</v>
      </c>
    </row>
    <row r="20" spans="1:16" ht="13.5" thickBot="1" x14ac:dyDescent="0.25">
      <c r="A20" s="204" t="s">
        <v>18</v>
      </c>
      <c r="B20" s="205" t="s">
        <v>14</v>
      </c>
      <c r="C20" s="206">
        <v>4631</v>
      </c>
      <c r="D20" s="207">
        <f t="shared" si="5"/>
        <v>4631</v>
      </c>
      <c r="E20" s="208"/>
      <c r="F20" s="209" t="s">
        <v>284</v>
      </c>
      <c r="G20" s="210">
        <f t="shared" si="2"/>
        <v>0</v>
      </c>
      <c r="H20" s="211"/>
      <c r="I20" s="212"/>
      <c r="J20" s="213" t="str">
        <f t="shared" si="3"/>
        <v/>
      </c>
      <c r="K20" s="4"/>
      <c r="L20" s="212"/>
      <c r="M20" s="213" t="str">
        <f t="shared" si="4"/>
        <v/>
      </c>
      <c r="O20" s="172">
        <f t="shared" si="0"/>
        <v>0</v>
      </c>
      <c r="P20" s="172">
        <f t="shared" si="1"/>
        <v>0</v>
      </c>
    </row>
    <row r="21" spans="1:16" ht="13.5" thickBot="1" x14ac:dyDescent="0.25">
      <c r="A21" s="204" t="s">
        <v>19</v>
      </c>
      <c r="B21" s="205" t="s">
        <v>5</v>
      </c>
      <c r="C21" s="206">
        <v>3432</v>
      </c>
      <c r="D21" s="207">
        <f t="shared" si="5"/>
        <v>3432</v>
      </c>
      <c r="E21" s="208"/>
      <c r="F21" s="209" t="s">
        <v>279</v>
      </c>
      <c r="G21" s="210">
        <f t="shared" si="2"/>
        <v>0</v>
      </c>
      <c r="H21" s="211"/>
      <c r="I21" s="212"/>
      <c r="J21" s="213" t="str">
        <f t="shared" si="3"/>
        <v/>
      </c>
      <c r="K21" s="4"/>
      <c r="L21" s="212"/>
      <c r="M21" s="213" t="str">
        <f t="shared" si="4"/>
        <v/>
      </c>
      <c r="O21" s="172">
        <f t="shared" si="0"/>
        <v>0</v>
      </c>
      <c r="P21" s="172">
        <f t="shared" si="1"/>
        <v>0</v>
      </c>
    </row>
    <row r="22" spans="1:16" ht="13.5" thickBot="1" x14ac:dyDescent="0.25">
      <c r="A22" s="216" t="s">
        <v>20</v>
      </c>
      <c r="B22" s="205" t="s">
        <v>5</v>
      </c>
      <c r="C22" s="206">
        <v>2500</v>
      </c>
      <c r="D22" s="207">
        <f t="shared" si="5"/>
        <v>2500</v>
      </c>
      <c r="E22" s="208"/>
      <c r="F22" s="209" t="s">
        <v>285</v>
      </c>
      <c r="G22" s="210">
        <f t="shared" si="2"/>
        <v>0</v>
      </c>
      <c r="H22" s="217"/>
      <c r="I22" s="212"/>
      <c r="J22" s="213" t="str">
        <f t="shared" si="3"/>
        <v/>
      </c>
      <c r="K22" s="4"/>
      <c r="L22" s="212"/>
      <c r="M22" s="213" t="str">
        <f t="shared" si="4"/>
        <v/>
      </c>
      <c r="O22" s="172">
        <f t="shared" si="0"/>
        <v>0</v>
      </c>
      <c r="P22" s="172">
        <f t="shared" si="1"/>
        <v>0</v>
      </c>
    </row>
    <row r="23" spans="1:16" ht="13.5" thickBot="1" x14ac:dyDescent="0.25">
      <c r="A23" s="216" t="s">
        <v>97</v>
      </c>
      <c r="B23" s="205" t="s">
        <v>21</v>
      </c>
      <c r="C23" s="206">
        <v>1377</v>
      </c>
      <c r="D23" s="207">
        <f t="shared" si="5"/>
        <v>1377</v>
      </c>
      <c r="E23" s="208"/>
      <c r="F23" s="209" t="s">
        <v>286</v>
      </c>
      <c r="G23" s="210">
        <f t="shared" si="2"/>
        <v>0</v>
      </c>
      <c r="H23" s="211"/>
      <c r="I23" s="212"/>
      <c r="J23" s="213" t="str">
        <f t="shared" si="3"/>
        <v/>
      </c>
      <c r="K23" s="4"/>
      <c r="L23" s="212"/>
      <c r="M23" s="213" t="str">
        <f t="shared" si="4"/>
        <v/>
      </c>
      <c r="O23" s="172">
        <f t="shared" si="0"/>
        <v>0</v>
      </c>
      <c r="P23" s="172">
        <f t="shared" si="1"/>
        <v>0</v>
      </c>
    </row>
    <row r="24" spans="1:16" ht="13.5" thickBot="1" x14ac:dyDescent="0.25">
      <c r="A24" s="204" t="s">
        <v>96</v>
      </c>
      <c r="B24" s="205" t="s">
        <v>21</v>
      </c>
      <c r="C24" s="206">
        <v>2043</v>
      </c>
      <c r="D24" s="207">
        <f t="shared" si="5"/>
        <v>2043</v>
      </c>
      <c r="E24" s="208"/>
      <c r="F24" s="209" t="s">
        <v>286</v>
      </c>
      <c r="G24" s="210">
        <f t="shared" si="2"/>
        <v>0</v>
      </c>
      <c r="H24" s="211"/>
      <c r="I24" s="212"/>
      <c r="J24" s="213" t="str">
        <f t="shared" si="3"/>
        <v/>
      </c>
      <c r="K24" s="4"/>
      <c r="L24" s="212"/>
      <c r="M24" s="213" t="str">
        <f t="shared" si="4"/>
        <v/>
      </c>
      <c r="O24" s="172">
        <f t="shared" si="0"/>
        <v>0</v>
      </c>
      <c r="P24" s="172">
        <f t="shared" si="1"/>
        <v>0</v>
      </c>
    </row>
    <row r="25" spans="1:16" ht="13.5" thickBot="1" x14ac:dyDescent="0.25">
      <c r="A25" s="204" t="s">
        <v>22</v>
      </c>
      <c r="B25" s="205" t="s">
        <v>21</v>
      </c>
      <c r="C25" s="218">
        <v>112.32</v>
      </c>
      <c r="D25" s="207">
        <f t="shared" si="5"/>
        <v>112.32</v>
      </c>
      <c r="E25" s="208"/>
      <c r="F25" s="219" t="s">
        <v>287</v>
      </c>
      <c r="G25" s="210">
        <f t="shared" si="2"/>
        <v>0</v>
      </c>
      <c r="H25" s="211"/>
      <c r="I25" s="212"/>
      <c r="J25" s="213" t="str">
        <f t="shared" si="3"/>
        <v/>
      </c>
      <c r="K25" s="4"/>
      <c r="L25" s="212"/>
      <c r="M25" s="213" t="str">
        <f t="shared" si="4"/>
        <v/>
      </c>
      <c r="O25" s="172">
        <f t="shared" si="0"/>
        <v>0</v>
      </c>
      <c r="P25" s="172">
        <f t="shared" si="1"/>
        <v>0</v>
      </c>
    </row>
    <row r="26" spans="1:16" ht="13.5" thickBot="1" x14ac:dyDescent="0.25">
      <c r="A26" s="178"/>
      <c r="B26" s="179"/>
      <c r="C26" s="177"/>
      <c r="D26" s="177"/>
      <c r="E26" s="177"/>
      <c r="H26" s="251" t="s">
        <v>68</v>
      </c>
      <c r="I26" s="349">
        <f>SUM(J7:J25)+SUMIF($Q$97:$Q$106,1,$J$97:$J$106)</f>
        <v>0</v>
      </c>
      <c r="J26" s="350"/>
      <c r="K26" s="250"/>
      <c r="L26" s="251"/>
      <c r="M26" s="252">
        <f>SUM(M7:M25)+SUMIF($Q$97:$Q$106,1,$M$97:$M$106)</f>
        <v>0</v>
      </c>
    </row>
    <row r="27" spans="1:16" ht="18.75" thickBot="1" x14ac:dyDescent="0.25">
      <c r="A27" s="298" t="s">
        <v>23</v>
      </c>
      <c r="B27" s="299"/>
      <c r="C27" s="299"/>
      <c r="D27" s="299"/>
      <c r="E27" s="299"/>
      <c r="F27" s="299"/>
      <c r="G27" s="201"/>
      <c r="H27" s="201"/>
      <c r="I27" s="202"/>
      <c r="J27" s="220" t="str">
        <f>IF(AND(ISNUMBER(I27),OR(I27&lt;&gt;0,I27&lt;&gt;"")),I27*C27,"")</f>
        <v/>
      </c>
      <c r="K27" s="4"/>
    </row>
    <row r="28" spans="1:16" ht="13.5" thickBot="1" x14ac:dyDescent="0.25">
      <c r="A28" s="215" t="s">
        <v>343</v>
      </c>
      <c r="B28" s="205" t="s">
        <v>24</v>
      </c>
      <c r="C28" s="237" t="s">
        <v>335</v>
      </c>
      <c r="D28" s="238">
        <v>1854</v>
      </c>
      <c r="E28" s="208"/>
      <c r="F28" s="209" t="s">
        <v>334</v>
      </c>
      <c r="G28" s="210">
        <f t="shared" ref="G28:G35" si="6">IF(L28&gt;0,IF(I28&gt;0,(I28-L28)/I28,0),IF(L28="",0,IF(I28&gt;0,I28/I28,0)))</f>
        <v>0</v>
      </c>
      <c r="H28" s="217"/>
      <c r="I28" s="212"/>
      <c r="J28" s="213" t="str">
        <f>IF(AND(ISNUMBER(L28),OR(L28&lt;&gt;0,L28&lt;&gt;"")),IF(AND(ISNUMBER(I28),OR(I28&lt;&gt;0,I28&lt;&gt;"")),IF(E28&gt;0,E28*G28*I28,I28*D28*G28),""),IF(AND(ISNUMBER(I28),OR(I28&lt;&gt;0,I28&lt;&gt;"")),IF(E28&gt;0,IF(H28&gt;0,E28*H28*I28,E28*G28*I28),IF(H28&gt;0,I28*D28*H28,I28*D28*G28)),""))</f>
        <v/>
      </c>
      <c r="K28" s="4"/>
      <c r="L28" s="212"/>
      <c r="M28" s="213" t="str">
        <f>IF(OR(I28&gt;0,L28&gt;0),IF(E28&gt;0,(I28-L28)*E28,(I28-L28)*D28),"")</f>
        <v/>
      </c>
      <c r="O28" s="172">
        <f t="shared" ref="O28:O33" si="7">IF(E28&gt;0,I28*E28,I28*D28)</f>
        <v>0</v>
      </c>
      <c r="P28" s="172">
        <f t="shared" ref="P28:P33" si="8">IF(E28&gt;0,L28*E28,L28*D28)</f>
        <v>0</v>
      </c>
    </row>
    <row r="29" spans="1:16" ht="26.25" thickBot="1" x14ac:dyDescent="0.25">
      <c r="A29" s="215" t="s">
        <v>85</v>
      </c>
      <c r="B29" s="205" t="s">
        <v>24</v>
      </c>
      <c r="C29" s="239" t="s">
        <v>214</v>
      </c>
      <c r="D29" s="238">
        <v>49</v>
      </c>
      <c r="E29" s="208"/>
      <c r="F29" s="209" t="s">
        <v>288</v>
      </c>
      <c r="G29" s="210">
        <f t="shared" si="6"/>
        <v>0</v>
      </c>
      <c r="H29" s="217"/>
      <c r="I29" s="212"/>
      <c r="J29" s="213" t="str">
        <f>IF(AND(ISNUMBER(L29),OR(L29&lt;&gt;0,L29&lt;&gt;"")),IF(AND(ISNUMBER(I29),OR(I29&lt;&gt;0,I29&lt;&gt;"")),IF(E29&gt;0,E29*G29*52/12*21,D29*G29*52/12*21),""),IF(AND(ISNUMBER(I29),OR(I29&lt;&gt;0,I29&lt;&gt;"")),IF(E29&gt;0,IF(H29&gt;0,E29*H29*52/12*21,E29*G29*52/12*21),IF(H29&gt;0,D29*H29*52/12*21,D29*G29*52/12*21)),""))</f>
        <v/>
      </c>
      <c r="K29" s="4"/>
      <c r="L29" s="212"/>
      <c r="M29" s="213" t="str">
        <f>IF(OR(I29&gt;0,L29&gt;0),IF(E29&gt;0,E29*(I29-L29)*52/12*21,D29*(I29-L29)*52/12*21),"")</f>
        <v/>
      </c>
      <c r="O29" s="172">
        <f>IF(I29&gt;0,IF(E29&gt;0,E29*52/12*21,D29*52/12*21),0)</f>
        <v>0</v>
      </c>
      <c r="P29" s="172">
        <f>IF(L29&gt;0,IF(E29&gt;0,E29*52/12*21,D29*52/12*21),0)</f>
        <v>0</v>
      </c>
    </row>
    <row r="30" spans="1:16" ht="26.25" thickBot="1" x14ac:dyDescent="0.25">
      <c r="A30" s="215" t="s">
        <v>86</v>
      </c>
      <c r="B30" s="205" t="s">
        <v>24</v>
      </c>
      <c r="C30" s="239" t="s">
        <v>215</v>
      </c>
      <c r="D30" s="238">
        <v>55</v>
      </c>
      <c r="E30" s="208"/>
      <c r="F30" s="209" t="s">
        <v>288</v>
      </c>
      <c r="G30" s="210">
        <f t="shared" si="6"/>
        <v>0</v>
      </c>
      <c r="H30" s="217"/>
      <c r="I30" s="212"/>
      <c r="J30" s="213" t="str">
        <f>IF(AND(ISNUMBER(L30),OR(L30&lt;&gt;0,L30&lt;&gt;"")),IF(AND(ISNUMBER(I30),OR(I30&lt;&gt;0,I30&lt;&gt;"")),IF(E30&gt;0,E30*G30*52/12*9,D30*G30*52/12*9),""),IF(AND(ISNUMBER(I30),OR(I30&lt;&gt;0,I30&lt;&gt;"")),IF(E30&gt;0,IF(H30&gt;0,E30*H30*52/12*9,E30*G30*52/12*9),IF(H30&gt;0,D30*H30*52/12*9,D30*G30*52/12*9)),""))</f>
        <v/>
      </c>
      <c r="K30" s="4"/>
      <c r="L30" s="212"/>
      <c r="M30" s="213" t="str">
        <f>IF(OR(I30&gt;0,L30&gt;0),IF(E30&gt;0,E30*(I30-L30)*52/12*9,D30*(I30-L30)*52/12*9),"")</f>
        <v/>
      </c>
      <c r="O30" s="172">
        <f>IF(I30&gt;0,IF(E30&gt;0,E30*52/12*9,D30*52/12*9),0)</f>
        <v>0</v>
      </c>
      <c r="P30" s="172">
        <f>IF(L30&gt;0,IF(E30&gt;0,E30*52/12*9,D30*52/12*9),0)</f>
        <v>0</v>
      </c>
    </row>
    <row r="31" spans="1:16" ht="26.25" thickBot="1" x14ac:dyDescent="0.25">
      <c r="A31" s="215" t="s">
        <v>87</v>
      </c>
      <c r="B31" s="205" t="s">
        <v>24</v>
      </c>
      <c r="C31" s="239" t="s">
        <v>216</v>
      </c>
      <c r="D31" s="238">
        <v>74</v>
      </c>
      <c r="E31" s="208"/>
      <c r="F31" s="209" t="s">
        <v>288</v>
      </c>
      <c r="G31" s="210">
        <f t="shared" si="6"/>
        <v>0</v>
      </c>
      <c r="H31" s="217"/>
      <c r="I31" s="212"/>
      <c r="J31" s="213" t="str">
        <f>IF(AND(ISNUMBER(L31),OR(L31&lt;&gt;0,L31&lt;&gt;"")),IF(AND(ISNUMBER(I31),OR(I31&lt;&gt;0,I31&lt;&gt;"")),IF(E31&gt;0,E31*G31*52/12*9,D31*G31*52/12*9),""),IF(AND(ISNUMBER(I31),OR(I31&lt;&gt;0,I31&lt;&gt;"")),IF(E31&gt;0,IF(H31&gt;0,E31*H31*52/12*9,E31*G31*52/12*9),IF(H31&gt;0,D31*H31*52/12*9,D31*G31*52/12*9)),""))</f>
        <v/>
      </c>
      <c r="K31" s="4"/>
      <c r="L31" s="212"/>
      <c r="M31" s="213" t="str">
        <f>IF(OR(I31&gt;0,L31&gt;0),IF(E31&gt;0,E31*(I31-L31)*52/12*9,D31*(I31-L31)*52/12*9),"")</f>
        <v/>
      </c>
      <c r="O31" s="172">
        <f>IF(I31&gt;0,IF(E31&gt;0,E31*52/12*9,D31*52/12*9),0)</f>
        <v>0</v>
      </c>
      <c r="P31" s="172">
        <f>IF(L31&gt;0,IF(E31&gt;0,E31*52/12*9,D31*52/12*9),0)</f>
        <v>0</v>
      </c>
    </row>
    <row r="32" spans="1:16" ht="13.5" thickBot="1" x14ac:dyDescent="0.25">
      <c r="A32" s="215" t="s">
        <v>155</v>
      </c>
      <c r="B32" s="205" t="s">
        <v>24</v>
      </c>
      <c r="C32" s="240" t="s">
        <v>336</v>
      </c>
      <c r="D32" s="238">
        <v>11686</v>
      </c>
      <c r="E32" s="208"/>
      <c r="F32" s="209" t="s">
        <v>334</v>
      </c>
      <c r="G32" s="210">
        <f t="shared" si="6"/>
        <v>0</v>
      </c>
      <c r="H32" s="217"/>
      <c r="I32" s="212"/>
      <c r="J32" s="213" t="str">
        <f>IF(AND(ISNUMBER(L32),OR(L32&lt;&gt;0,L32&lt;&gt;"")),IF(AND(ISNUMBER(I32),OR(I32&lt;&gt;0,I32&lt;&gt;"")),IF(E32&gt;0,E32*G32*I32,I32*D32*G32),""),IF(AND(ISNUMBER(I32),OR(I32&lt;&gt;0,I32&lt;&gt;"")),IF(E32&gt;0,IF(H32&gt;0,E32*H32*I32,E32*G32*I32),IF(H32&gt;0,I32*D32*H32,I32*D32*G32)),""))</f>
        <v/>
      </c>
      <c r="K32" s="4"/>
      <c r="L32" s="212"/>
      <c r="M32" s="213" t="str">
        <f>IF(OR(I32&gt;0,L32&gt;0),IF(E32&gt;0,(I32-L32)*E32,(I32-L32)*D32),"")</f>
        <v/>
      </c>
      <c r="O32" s="172">
        <f t="shared" si="7"/>
        <v>0</v>
      </c>
      <c r="P32" s="172">
        <f t="shared" si="8"/>
        <v>0</v>
      </c>
    </row>
    <row r="33" spans="1:16" ht="13.5" thickBot="1" x14ac:dyDescent="0.25">
      <c r="A33" s="215" t="s">
        <v>168</v>
      </c>
      <c r="B33" s="205" t="s">
        <v>24</v>
      </c>
      <c r="C33" s="240" t="s">
        <v>217</v>
      </c>
      <c r="D33" s="238">
        <v>98</v>
      </c>
      <c r="E33" s="208"/>
      <c r="F33" s="209"/>
      <c r="G33" s="210">
        <f t="shared" si="6"/>
        <v>0</v>
      </c>
      <c r="H33" s="217"/>
      <c r="I33" s="212"/>
      <c r="J33" s="213" t="str">
        <f>IF(AND(ISNUMBER(L33),OR(L33&lt;&gt;0,L33&lt;&gt;"")),IF(AND(ISNUMBER(I33),OR(I33&lt;&gt;0,I33&lt;&gt;"")),IF(E33&gt;0,E33*G33*I33,I33*D33*G33),""),IF(AND(ISNUMBER(I33),OR(I33&lt;&gt;0,I33&lt;&gt;"")),IF(E33&gt;0,IF(H33&gt;0,E33*H33*I33,E33*G33*I33),IF(H33&gt;0,I33*D33*H33,I33*D33*G33)),""))</f>
        <v/>
      </c>
      <c r="K33" s="4"/>
      <c r="L33" s="212"/>
      <c r="M33" s="213" t="str">
        <f>IF(OR(I33&gt;0,L33&gt;0),IF(E33&gt;0,(I33-L33)*E33,(I33-L33)*D33),"")</f>
        <v/>
      </c>
      <c r="O33" s="172">
        <f t="shared" si="7"/>
        <v>0</v>
      </c>
      <c r="P33" s="172">
        <f t="shared" si="8"/>
        <v>0</v>
      </c>
    </row>
    <row r="34" spans="1:16" ht="13.5" thickBot="1" x14ac:dyDescent="0.25">
      <c r="A34" s="215" t="s">
        <v>199</v>
      </c>
      <c r="B34" s="205" t="s">
        <v>7</v>
      </c>
      <c r="C34" s="240" t="s">
        <v>218</v>
      </c>
      <c r="D34" s="238">
        <v>15902</v>
      </c>
      <c r="E34" s="208"/>
      <c r="F34" s="209"/>
      <c r="G34" s="210">
        <f t="shared" si="6"/>
        <v>0</v>
      </c>
      <c r="H34" s="217"/>
      <c r="I34" s="212"/>
      <c r="J34" s="213" t="str">
        <f>IF(AND(ISNUMBER(L34),OR(L34&lt;&gt;0,L34&lt;&gt;"")),IF(AND(ISNUMBER(I34),OR(I34&lt;&gt;0,I34&lt;&gt;"")),IF(E34&gt;0,E34*G34*I34,I34*D34*G34),""),IF(AND(ISNUMBER(I34),OR(I34&lt;&gt;0,I34&lt;&gt;"")),IF(E34&gt;0,IF(H34&gt;0,E34*H34*I34,E34*G34*I34),IF(H34&gt;0,I34*D34*H34,I34*D34*G34)),""))</f>
        <v/>
      </c>
      <c r="K34" s="4"/>
      <c r="L34" s="212"/>
      <c r="M34" s="213" t="str">
        <f>IF(OR(I34&gt;0,L34&gt;0),IF(E34&gt;0,(I34-L34)*E34,(I34-L34)*D34),"")</f>
        <v/>
      </c>
      <c r="O34" s="172">
        <f>IF(E34&gt;0,I34*E34,I34*D34)</f>
        <v>0</v>
      </c>
      <c r="P34" s="172">
        <f>IF(E34&gt;0,L34*E34,L34*D34)</f>
        <v>0</v>
      </c>
    </row>
    <row r="35" spans="1:16" ht="13.5" thickBot="1" x14ac:dyDescent="0.25">
      <c r="A35" s="215" t="s">
        <v>219</v>
      </c>
      <c r="B35" s="205" t="s">
        <v>7</v>
      </c>
      <c r="C35" s="240" t="s">
        <v>220</v>
      </c>
      <c r="D35" s="238">
        <v>12</v>
      </c>
      <c r="E35" s="208"/>
      <c r="F35" s="209"/>
      <c r="G35" s="210">
        <f t="shared" si="6"/>
        <v>0</v>
      </c>
      <c r="H35" s="217"/>
      <c r="I35" s="212"/>
      <c r="J35" s="213" t="str">
        <f>IF(AND(ISNUMBER(L35),OR(L35&lt;&gt;0,L35&lt;&gt;"")),IF(AND(ISNUMBER(I35),OR(I35&lt;&gt;0,I35&lt;&gt;"")),IF(E35&gt;0,E35*G35*I35,I35*D35*G35),""),IF(AND(ISNUMBER(I35),OR(I35&lt;&gt;0,I35&lt;&gt;"")),IF(E35&gt;0,IF(H35&gt;0,E35*H35*I35,E35*G35*I35),IF(H35&gt;0,I35*D35*H35,I35*D35*G35)),""))</f>
        <v/>
      </c>
      <c r="K35" s="4"/>
      <c r="L35" s="212"/>
      <c r="M35" s="213" t="str">
        <f>IF(OR(I35&gt;0,L35&gt;0),IF(E35&gt;0,(I35-L35)*E35,(I35-L35)*D35),"")</f>
        <v/>
      </c>
      <c r="O35" s="172"/>
      <c r="P35" s="172"/>
    </row>
    <row r="36" spans="1:16" ht="13.5" thickBot="1" x14ac:dyDescent="0.25">
      <c r="A36" s="178"/>
      <c r="B36" s="179"/>
      <c r="C36" s="177"/>
      <c r="D36" s="177"/>
      <c r="E36" s="177"/>
      <c r="F36" s="180"/>
      <c r="G36" s="181"/>
      <c r="H36" s="253" t="s">
        <v>68</v>
      </c>
      <c r="I36" s="351">
        <f>SUM(J28:J35)+SUMIF($Q$97:$Q$106,3,$J$97:$J$106)</f>
        <v>0</v>
      </c>
      <c r="J36" s="352"/>
      <c r="K36" s="250"/>
      <c r="L36" s="251"/>
      <c r="M36" s="252">
        <f>SUM(M28:M35)+SUMIF($Q$97:$Q$106,3,$M$97:$M$106)</f>
        <v>0</v>
      </c>
    </row>
    <row r="37" spans="1:16" ht="18.75" thickBot="1" x14ac:dyDescent="0.25">
      <c r="A37" s="298" t="s">
        <v>25</v>
      </c>
      <c r="B37" s="299"/>
      <c r="C37" s="299"/>
      <c r="D37" s="299"/>
      <c r="E37" s="299"/>
      <c r="F37" s="299"/>
      <c r="G37" s="201"/>
      <c r="H37" s="221"/>
      <c r="I37" s="222"/>
      <c r="J37" s="223"/>
      <c r="K37" s="4"/>
    </row>
    <row r="38" spans="1:16" ht="13.5" thickBot="1" x14ac:dyDescent="0.25">
      <c r="A38" s="215" t="s">
        <v>26</v>
      </c>
      <c r="B38" s="205" t="s">
        <v>7</v>
      </c>
      <c r="C38" s="239">
        <v>878.23</v>
      </c>
      <c r="D38" s="241">
        <f>C38</f>
        <v>878.23</v>
      </c>
      <c r="E38" s="208"/>
      <c r="F38" s="242" t="s">
        <v>289</v>
      </c>
      <c r="G38" s="210">
        <f t="shared" ref="G38:G50" si="9">IF(L38&gt;0,IF(I38&gt;0,(I38-L38)/I38,0),IF(L38="",0,IF(I38&gt;0,I38/I38,0)))</f>
        <v>0</v>
      </c>
      <c r="H38" s="211"/>
      <c r="I38" s="212"/>
      <c r="J38" s="213" t="str">
        <f t="shared" ref="J38:J50" si="10">IF(AND(ISNUMBER(L38),OR(L38&lt;&gt;0,L38&lt;&gt;"")),IF(AND(ISNUMBER(I38),OR(I38&lt;&gt;0,I38&lt;&gt;"")),IF(E38&gt;0,E38*G38*I38,I38*D38*G38),""),IF(AND(ISNUMBER(I38),OR(I38&lt;&gt;0,I38&lt;&gt;"")),IF(E38&gt;0,IF(H38&gt;0,E38*H38*I38,E38*G38*I38),IF(H38&gt;0,I38*D38*H38,I38*D38*G38)),""))</f>
        <v/>
      </c>
      <c r="K38" s="4"/>
      <c r="L38" s="212"/>
      <c r="M38" s="213" t="str">
        <f t="shared" ref="M38:M50" si="11">IF(OR(I38&gt;0,L38&gt;0),IF(E38&gt;0,(I38-L38)*E38,(I38-L38)*D38),"")</f>
        <v/>
      </c>
      <c r="O38" s="172">
        <f t="shared" ref="O38:O50" si="12">IF(E38&gt;0,I38*E38,I38*D38)</f>
        <v>0</v>
      </c>
      <c r="P38" s="172">
        <f t="shared" ref="P38:P50" si="13">IF(E38&gt;0,L38*E38,L38*D38)</f>
        <v>0</v>
      </c>
    </row>
    <row r="39" spans="1:16" ht="13.5" thickBot="1" x14ac:dyDescent="0.25">
      <c r="A39" s="215" t="s">
        <v>27</v>
      </c>
      <c r="B39" s="205" t="s">
        <v>7</v>
      </c>
      <c r="C39" s="239">
        <v>87.82</v>
      </c>
      <c r="D39" s="241">
        <f t="shared" ref="D39:D48" si="14">C39</f>
        <v>87.82</v>
      </c>
      <c r="E39" s="208"/>
      <c r="F39" s="242" t="s">
        <v>289</v>
      </c>
      <c r="G39" s="210">
        <f t="shared" si="9"/>
        <v>0</v>
      </c>
      <c r="H39" s="211"/>
      <c r="I39" s="212"/>
      <c r="J39" s="213" t="str">
        <f t="shared" si="10"/>
        <v/>
      </c>
      <c r="K39" s="4"/>
      <c r="L39" s="212"/>
      <c r="M39" s="213" t="str">
        <f t="shared" si="11"/>
        <v/>
      </c>
      <c r="O39" s="172">
        <f t="shared" si="12"/>
        <v>0</v>
      </c>
      <c r="P39" s="172">
        <f t="shared" si="13"/>
        <v>0</v>
      </c>
    </row>
    <row r="40" spans="1:16" ht="13.5" thickBot="1" x14ac:dyDescent="0.25">
      <c r="A40" s="215" t="s">
        <v>28</v>
      </c>
      <c r="B40" s="205" t="s">
        <v>7</v>
      </c>
      <c r="C40" s="240">
        <v>1464</v>
      </c>
      <c r="D40" s="241">
        <f t="shared" si="14"/>
        <v>1464</v>
      </c>
      <c r="E40" s="208"/>
      <c r="F40" s="242" t="s">
        <v>289</v>
      </c>
      <c r="G40" s="210">
        <f t="shared" si="9"/>
        <v>0</v>
      </c>
      <c r="H40" s="211"/>
      <c r="I40" s="212"/>
      <c r="J40" s="213" t="str">
        <f t="shared" si="10"/>
        <v/>
      </c>
      <c r="K40" s="4"/>
      <c r="L40" s="212"/>
      <c r="M40" s="213" t="str">
        <f t="shared" si="11"/>
        <v/>
      </c>
      <c r="O40" s="172">
        <f t="shared" si="12"/>
        <v>0</v>
      </c>
      <c r="P40" s="172">
        <f t="shared" si="13"/>
        <v>0</v>
      </c>
    </row>
    <row r="41" spans="1:16" ht="13.5" thickBot="1" x14ac:dyDescent="0.25">
      <c r="A41" s="215" t="s">
        <v>29</v>
      </c>
      <c r="B41" s="205" t="s">
        <v>7</v>
      </c>
      <c r="C41" s="240">
        <v>3745</v>
      </c>
      <c r="D41" s="241">
        <f t="shared" si="14"/>
        <v>3745</v>
      </c>
      <c r="E41" s="208"/>
      <c r="F41" s="242" t="s">
        <v>289</v>
      </c>
      <c r="G41" s="210">
        <f t="shared" si="9"/>
        <v>0</v>
      </c>
      <c r="H41" s="211"/>
      <c r="I41" s="212"/>
      <c r="J41" s="213" t="str">
        <f t="shared" si="10"/>
        <v/>
      </c>
      <c r="K41" s="4"/>
      <c r="L41" s="212"/>
      <c r="M41" s="213" t="str">
        <f t="shared" si="11"/>
        <v/>
      </c>
      <c r="O41" s="172">
        <f t="shared" si="12"/>
        <v>0</v>
      </c>
      <c r="P41" s="172">
        <f t="shared" si="13"/>
        <v>0</v>
      </c>
    </row>
    <row r="42" spans="1:16" ht="13.5" thickBot="1" x14ac:dyDescent="0.25">
      <c r="A42" s="215" t="s">
        <v>30</v>
      </c>
      <c r="B42" s="205" t="s">
        <v>7</v>
      </c>
      <c r="C42" s="240">
        <v>16830</v>
      </c>
      <c r="D42" s="241">
        <f t="shared" si="14"/>
        <v>16830</v>
      </c>
      <c r="E42" s="208"/>
      <c r="F42" s="242" t="s">
        <v>290</v>
      </c>
      <c r="G42" s="210">
        <f t="shared" si="9"/>
        <v>0</v>
      </c>
      <c r="H42" s="211"/>
      <c r="I42" s="212"/>
      <c r="J42" s="213" t="str">
        <f t="shared" si="10"/>
        <v/>
      </c>
      <c r="K42" s="4"/>
      <c r="L42" s="212"/>
      <c r="M42" s="213" t="str">
        <f t="shared" si="11"/>
        <v/>
      </c>
      <c r="O42" s="172">
        <f t="shared" si="12"/>
        <v>0</v>
      </c>
      <c r="P42" s="172">
        <f t="shared" si="13"/>
        <v>0</v>
      </c>
    </row>
    <row r="43" spans="1:16" ht="13.5" thickBot="1" x14ac:dyDescent="0.25">
      <c r="A43" s="215" t="s">
        <v>31</v>
      </c>
      <c r="B43" s="205" t="s">
        <v>7</v>
      </c>
      <c r="C43" s="240">
        <v>4854</v>
      </c>
      <c r="D43" s="241">
        <f t="shared" si="14"/>
        <v>4854</v>
      </c>
      <c r="E43" s="208"/>
      <c r="F43" s="242" t="s">
        <v>291</v>
      </c>
      <c r="G43" s="210">
        <f t="shared" si="9"/>
        <v>0</v>
      </c>
      <c r="H43" s="211"/>
      <c r="I43" s="212"/>
      <c r="J43" s="213" t="str">
        <f t="shared" si="10"/>
        <v/>
      </c>
      <c r="K43" s="4"/>
      <c r="L43" s="212"/>
      <c r="M43" s="213" t="str">
        <f t="shared" si="11"/>
        <v/>
      </c>
      <c r="O43" s="172">
        <f t="shared" si="12"/>
        <v>0</v>
      </c>
      <c r="P43" s="172">
        <f t="shared" si="13"/>
        <v>0</v>
      </c>
    </row>
    <row r="44" spans="1:16" ht="13.5" thickBot="1" x14ac:dyDescent="0.25">
      <c r="A44" s="215" t="s">
        <v>32</v>
      </c>
      <c r="B44" s="205" t="s">
        <v>7</v>
      </c>
      <c r="C44" s="240">
        <v>7072</v>
      </c>
      <c r="D44" s="241">
        <f t="shared" si="14"/>
        <v>7072</v>
      </c>
      <c r="E44" s="208"/>
      <c r="F44" s="242"/>
      <c r="G44" s="210">
        <f t="shared" si="9"/>
        <v>0</v>
      </c>
      <c r="H44" s="211"/>
      <c r="I44" s="212"/>
      <c r="J44" s="213" t="str">
        <f t="shared" si="10"/>
        <v/>
      </c>
      <c r="K44" s="4"/>
      <c r="L44" s="212"/>
      <c r="M44" s="213" t="str">
        <f t="shared" si="11"/>
        <v/>
      </c>
      <c r="O44" s="172">
        <f t="shared" si="12"/>
        <v>0</v>
      </c>
      <c r="P44" s="172">
        <f t="shared" si="13"/>
        <v>0</v>
      </c>
    </row>
    <row r="45" spans="1:16" ht="13.5" thickBot="1" x14ac:dyDescent="0.25">
      <c r="A45" s="215" t="s">
        <v>33</v>
      </c>
      <c r="B45" s="205" t="s">
        <v>7</v>
      </c>
      <c r="C45" s="240">
        <v>1094</v>
      </c>
      <c r="D45" s="241">
        <f t="shared" si="14"/>
        <v>1094</v>
      </c>
      <c r="E45" s="208"/>
      <c r="F45" s="242" t="s">
        <v>292</v>
      </c>
      <c r="G45" s="210">
        <f t="shared" si="9"/>
        <v>0</v>
      </c>
      <c r="H45" s="211"/>
      <c r="I45" s="212"/>
      <c r="J45" s="213" t="str">
        <f t="shared" si="10"/>
        <v/>
      </c>
      <c r="K45" s="4"/>
      <c r="L45" s="212"/>
      <c r="M45" s="213" t="str">
        <f t="shared" si="11"/>
        <v/>
      </c>
      <c r="O45" s="172">
        <f t="shared" si="12"/>
        <v>0</v>
      </c>
      <c r="P45" s="172">
        <f t="shared" si="13"/>
        <v>0</v>
      </c>
    </row>
    <row r="46" spans="1:16" ht="13.5" thickBot="1" x14ac:dyDescent="0.25">
      <c r="A46" s="215" t="s">
        <v>34</v>
      </c>
      <c r="B46" s="205" t="s">
        <v>7</v>
      </c>
      <c r="C46" s="240">
        <v>5708</v>
      </c>
      <c r="D46" s="241">
        <f t="shared" si="14"/>
        <v>5708</v>
      </c>
      <c r="E46" s="208"/>
      <c r="F46" s="242" t="s">
        <v>292</v>
      </c>
      <c r="G46" s="210">
        <f t="shared" si="9"/>
        <v>0</v>
      </c>
      <c r="H46" s="211"/>
      <c r="I46" s="212"/>
      <c r="J46" s="213" t="str">
        <f t="shared" si="10"/>
        <v/>
      </c>
      <c r="K46" s="4"/>
      <c r="L46" s="212"/>
      <c r="M46" s="213" t="str">
        <f t="shared" si="11"/>
        <v/>
      </c>
      <c r="O46" s="172">
        <f t="shared" si="12"/>
        <v>0</v>
      </c>
      <c r="P46" s="172">
        <f t="shared" si="13"/>
        <v>0</v>
      </c>
    </row>
    <row r="47" spans="1:16" ht="13.5" thickBot="1" x14ac:dyDescent="0.25">
      <c r="A47" s="215" t="s">
        <v>35</v>
      </c>
      <c r="B47" s="205" t="s">
        <v>7</v>
      </c>
      <c r="C47" s="240">
        <v>4716</v>
      </c>
      <c r="D47" s="241">
        <f t="shared" si="14"/>
        <v>4716</v>
      </c>
      <c r="E47" s="208"/>
      <c r="F47" s="242" t="s">
        <v>293</v>
      </c>
      <c r="G47" s="210">
        <f t="shared" si="9"/>
        <v>0</v>
      </c>
      <c r="H47" s="211"/>
      <c r="I47" s="212"/>
      <c r="J47" s="213" t="str">
        <f t="shared" si="10"/>
        <v/>
      </c>
      <c r="K47" s="4"/>
      <c r="L47" s="212"/>
      <c r="M47" s="213" t="str">
        <f t="shared" si="11"/>
        <v/>
      </c>
      <c r="O47" s="172">
        <f t="shared" si="12"/>
        <v>0</v>
      </c>
      <c r="P47" s="172">
        <f t="shared" si="13"/>
        <v>0</v>
      </c>
    </row>
    <row r="48" spans="1:16" ht="13.5" thickBot="1" x14ac:dyDescent="0.25">
      <c r="A48" s="215" t="s">
        <v>36</v>
      </c>
      <c r="B48" s="205" t="s">
        <v>7</v>
      </c>
      <c r="C48" s="239">
        <v>1756</v>
      </c>
      <c r="D48" s="241">
        <f t="shared" si="14"/>
        <v>1756</v>
      </c>
      <c r="E48" s="208"/>
      <c r="F48" s="242" t="s">
        <v>292</v>
      </c>
      <c r="G48" s="210">
        <f t="shared" si="9"/>
        <v>0</v>
      </c>
      <c r="H48" s="211"/>
      <c r="I48" s="212"/>
      <c r="J48" s="213" t="str">
        <f t="shared" si="10"/>
        <v/>
      </c>
      <c r="K48" s="4"/>
      <c r="L48" s="212"/>
      <c r="M48" s="213" t="str">
        <f t="shared" si="11"/>
        <v/>
      </c>
      <c r="O48" s="172">
        <f t="shared" si="12"/>
        <v>0</v>
      </c>
      <c r="P48" s="172">
        <f t="shared" si="13"/>
        <v>0</v>
      </c>
    </row>
    <row r="49" spans="1:16" ht="13.5" thickBot="1" x14ac:dyDescent="0.25">
      <c r="A49" s="215" t="s">
        <v>137</v>
      </c>
      <c r="B49" s="205" t="s">
        <v>7</v>
      </c>
      <c r="C49" s="239">
        <v>766</v>
      </c>
      <c r="D49" s="241">
        <f>C49</f>
        <v>766</v>
      </c>
      <c r="E49" s="208"/>
      <c r="F49" s="242"/>
      <c r="G49" s="210">
        <f t="shared" si="9"/>
        <v>0</v>
      </c>
      <c r="H49" s="211"/>
      <c r="I49" s="212"/>
      <c r="J49" s="213" t="str">
        <f t="shared" si="10"/>
        <v/>
      </c>
      <c r="K49" s="4"/>
      <c r="L49" s="212"/>
      <c r="M49" s="213" t="str">
        <f t="shared" si="11"/>
        <v/>
      </c>
      <c r="O49" s="172">
        <f t="shared" si="12"/>
        <v>0</v>
      </c>
      <c r="P49" s="172">
        <f t="shared" si="13"/>
        <v>0</v>
      </c>
    </row>
    <row r="50" spans="1:16" ht="13.5" thickBot="1" x14ac:dyDescent="0.25">
      <c r="A50" s="215" t="s">
        <v>167</v>
      </c>
      <c r="B50" s="205" t="s">
        <v>7</v>
      </c>
      <c r="C50" s="239"/>
      <c r="D50" s="241">
        <f>E50</f>
        <v>0</v>
      </c>
      <c r="E50" s="208"/>
      <c r="F50" s="242"/>
      <c r="G50" s="210">
        <f t="shared" si="9"/>
        <v>0</v>
      </c>
      <c r="H50" s="211"/>
      <c r="I50" s="212"/>
      <c r="J50" s="213" t="str">
        <f t="shared" si="10"/>
        <v/>
      </c>
      <c r="K50" s="4"/>
      <c r="L50" s="212"/>
      <c r="M50" s="213" t="str">
        <f t="shared" si="11"/>
        <v/>
      </c>
      <c r="O50" s="172">
        <f t="shared" si="12"/>
        <v>0</v>
      </c>
      <c r="P50" s="172">
        <f t="shared" si="13"/>
        <v>0</v>
      </c>
    </row>
    <row r="51" spans="1:16" ht="13.5" thickBot="1" x14ac:dyDescent="0.25">
      <c r="A51" s="174"/>
      <c r="B51" s="175"/>
      <c r="C51" s="176"/>
      <c r="D51" s="176"/>
      <c r="E51" s="176"/>
      <c r="F51" s="182"/>
      <c r="G51" s="183"/>
      <c r="H51" s="253" t="s">
        <v>68</v>
      </c>
      <c r="I51" s="351">
        <f>SUM(J38:J49)+SUMIF($Q$97:$Q$106,5,$J$97:$J$106)</f>
        <v>0</v>
      </c>
      <c r="J51" s="352"/>
      <c r="K51" s="250"/>
      <c r="L51" s="251"/>
      <c r="M51" s="252">
        <f>SUM(M38:M50)+SUMIF($Q$97:$Q$106,5,$M$97:$M$106)</f>
        <v>0</v>
      </c>
    </row>
    <row r="52" spans="1:16" ht="18.75" thickBot="1" x14ac:dyDescent="0.25">
      <c r="A52" s="298" t="s">
        <v>37</v>
      </c>
      <c r="B52" s="299"/>
      <c r="C52" s="299"/>
      <c r="D52" s="299"/>
      <c r="E52" s="299"/>
      <c r="F52" s="299"/>
      <c r="G52" s="201"/>
      <c r="H52" s="221"/>
      <c r="I52" s="222"/>
      <c r="J52" s="224"/>
      <c r="K52" s="4"/>
    </row>
    <row r="53" spans="1:16" ht="13.5" thickBot="1" x14ac:dyDescent="0.25">
      <c r="A53" s="204" t="s">
        <v>161</v>
      </c>
      <c r="B53" s="205" t="s">
        <v>39</v>
      </c>
      <c r="C53" s="237" t="s">
        <v>221</v>
      </c>
      <c r="D53" s="238">
        <v>131</v>
      </c>
      <c r="E53" s="208"/>
      <c r="F53" s="242" t="s">
        <v>294</v>
      </c>
      <c r="G53" s="210">
        <f t="shared" ref="G53:G70" si="15">IF(L53&gt;0,IF(I53&gt;0,(I53-L53)/I53,0),IF(L53="",0,IF(I53&gt;0,I53/I53,0)))</f>
        <v>0</v>
      </c>
      <c r="H53" s="211"/>
      <c r="I53" s="212"/>
      <c r="J53" s="213" t="str">
        <f t="shared" ref="J53:J70" si="16">IF(AND(ISNUMBER(L53),OR(L53&lt;&gt;0,L53&lt;&gt;"")),IF(AND(ISNUMBER(I53),OR(I53&lt;&gt;0,I53&lt;&gt;"")),IF(E53&gt;0,E53*G53*I53,I53*D53*G53),""),IF(AND(ISNUMBER(I53),OR(I53&lt;&gt;0,I53&lt;&gt;"")),IF(E53&gt;0,IF(H53&gt;0,E53*H53*I53,E53*G53*I53),IF(H53&gt;0,I53*D53*H53,I53*D53*G53)),""))</f>
        <v/>
      </c>
      <c r="K53" s="4"/>
      <c r="L53" s="212"/>
      <c r="M53" s="213" t="str">
        <f t="shared" ref="M53:M70" si="17">IF(OR(I53&gt;0,L53&gt;0),IF(E53&gt;0,(I53-L53)*E53,(I53-L53)*D53),"")</f>
        <v/>
      </c>
      <c r="O53" s="172">
        <f t="shared" ref="O53:O70" si="18">IF(E53&gt;0,I53*E53,I53*D53)</f>
        <v>0</v>
      </c>
      <c r="P53" s="172">
        <f t="shared" ref="P53:P70" si="19">IF(E53&gt;0,L53*E53,L53*D53)</f>
        <v>0</v>
      </c>
    </row>
    <row r="54" spans="1:16" ht="13.5" thickBot="1" x14ac:dyDescent="0.25">
      <c r="A54" s="204" t="s">
        <v>160</v>
      </c>
      <c r="B54" s="205" t="s">
        <v>39</v>
      </c>
      <c r="C54" s="237" t="s">
        <v>222</v>
      </c>
      <c r="D54" s="238">
        <v>142</v>
      </c>
      <c r="E54" s="208"/>
      <c r="F54" s="242" t="s">
        <v>295</v>
      </c>
      <c r="G54" s="210">
        <f t="shared" si="15"/>
        <v>0</v>
      </c>
      <c r="H54" s="211"/>
      <c r="I54" s="212"/>
      <c r="J54" s="213" t="str">
        <f t="shared" si="16"/>
        <v/>
      </c>
      <c r="K54" s="4"/>
      <c r="L54" s="212"/>
      <c r="M54" s="213" t="str">
        <f t="shared" si="17"/>
        <v/>
      </c>
      <c r="O54" s="172">
        <f t="shared" si="18"/>
        <v>0</v>
      </c>
      <c r="P54" s="172">
        <f t="shared" si="19"/>
        <v>0</v>
      </c>
    </row>
    <row r="55" spans="1:16" ht="13.5" thickBot="1" x14ac:dyDescent="0.25">
      <c r="A55" s="204" t="s">
        <v>40</v>
      </c>
      <c r="B55" s="205" t="s">
        <v>39</v>
      </c>
      <c r="C55" s="237" t="s">
        <v>223</v>
      </c>
      <c r="D55" s="238">
        <v>272.37</v>
      </c>
      <c r="E55" s="208"/>
      <c r="F55" s="242" t="s">
        <v>41</v>
      </c>
      <c r="G55" s="210">
        <f t="shared" si="15"/>
        <v>0</v>
      </c>
      <c r="H55" s="211"/>
      <c r="I55" s="212"/>
      <c r="J55" s="213" t="str">
        <f t="shared" si="16"/>
        <v/>
      </c>
      <c r="K55" s="4"/>
      <c r="L55" s="212"/>
      <c r="M55" s="213" t="str">
        <f t="shared" si="17"/>
        <v/>
      </c>
      <c r="O55" s="172">
        <f t="shared" si="18"/>
        <v>0</v>
      </c>
      <c r="P55" s="172">
        <f t="shared" si="19"/>
        <v>0</v>
      </c>
    </row>
    <row r="56" spans="1:16" ht="13.5" thickBot="1" x14ac:dyDescent="0.25">
      <c r="A56" s="204" t="s">
        <v>42</v>
      </c>
      <c r="B56" s="205" t="s">
        <v>39</v>
      </c>
      <c r="C56" s="237" t="s">
        <v>224</v>
      </c>
      <c r="D56" s="238">
        <v>247</v>
      </c>
      <c r="E56" s="208"/>
      <c r="F56" s="242" t="s">
        <v>43</v>
      </c>
      <c r="G56" s="210">
        <f t="shared" si="15"/>
        <v>0</v>
      </c>
      <c r="H56" s="211"/>
      <c r="I56" s="212"/>
      <c r="J56" s="213" t="str">
        <f t="shared" si="16"/>
        <v/>
      </c>
      <c r="K56" s="4"/>
      <c r="L56" s="212"/>
      <c r="M56" s="213" t="str">
        <f t="shared" si="17"/>
        <v/>
      </c>
      <c r="O56" s="172">
        <f t="shared" si="18"/>
        <v>0</v>
      </c>
      <c r="P56" s="172">
        <f t="shared" si="19"/>
        <v>0</v>
      </c>
    </row>
    <row r="57" spans="1:16" ht="13.5" thickBot="1" x14ac:dyDescent="0.25">
      <c r="A57" s="204" t="s">
        <v>44</v>
      </c>
      <c r="B57" s="205" t="s">
        <v>39</v>
      </c>
      <c r="C57" s="237" t="s">
        <v>225</v>
      </c>
      <c r="D57" s="238">
        <v>152</v>
      </c>
      <c r="E57" s="208"/>
      <c r="F57" s="242" t="s">
        <v>327</v>
      </c>
      <c r="G57" s="210">
        <f t="shared" si="15"/>
        <v>0</v>
      </c>
      <c r="H57" s="211"/>
      <c r="I57" s="212"/>
      <c r="J57" s="213" t="str">
        <f t="shared" si="16"/>
        <v/>
      </c>
      <c r="K57" s="4"/>
      <c r="L57" s="212"/>
      <c r="M57" s="213" t="str">
        <f t="shared" si="17"/>
        <v/>
      </c>
      <c r="O57" s="172">
        <f t="shared" si="18"/>
        <v>0</v>
      </c>
      <c r="P57" s="172">
        <f t="shared" si="19"/>
        <v>0</v>
      </c>
    </row>
    <row r="58" spans="1:16" ht="13.5" thickBot="1" x14ac:dyDescent="0.25">
      <c r="A58" s="204" t="s">
        <v>162</v>
      </c>
      <c r="B58" s="205" t="s">
        <v>39</v>
      </c>
      <c r="C58" s="237" t="s">
        <v>163</v>
      </c>
      <c r="D58" s="238">
        <v>105</v>
      </c>
      <c r="E58" s="208"/>
      <c r="F58" s="242" t="s">
        <v>296</v>
      </c>
      <c r="G58" s="210">
        <f t="shared" si="15"/>
        <v>0</v>
      </c>
      <c r="H58" s="211"/>
      <c r="I58" s="212"/>
      <c r="J58" s="213" t="str">
        <f t="shared" si="16"/>
        <v/>
      </c>
      <c r="K58" s="4"/>
      <c r="L58" s="212"/>
      <c r="M58" s="213" t="str">
        <f t="shared" si="17"/>
        <v/>
      </c>
      <c r="O58" s="172">
        <f t="shared" si="18"/>
        <v>0</v>
      </c>
      <c r="P58" s="172">
        <f t="shared" si="19"/>
        <v>0</v>
      </c>
    </row>
    <row r="59" spans="1:16" ht="13.5" thickBot="1" x14ac:dyDescent="0.25">
      <c r="A59" s="204" t="s">
        <v>226</v>
      </c>
      <c r="B59" s="205" t="s">
        <v>39</v>
      </c>
      <c r="C59" s="237" t="s">
        <v>227</v>
      </c>
      <c r="D59" s="238">
        <v>32</v>
      </c>
      <c r="E59" s="208"/>
      <c r="F59" s="242" t="s">
        <v>328</v>
      </c>
      <c r="G59" s="210">
        <f t="shared" si="15"/>
        <v>0</v>
      </c>
      <c r="H59" s="211"/>
      <c r="I59" s="212"/>
      <c r="J59" s="213" t="str">
        <f t="shared" si="16"/>
        <v/>
      </c>
      <c r="K59" s="4"/>
      <c r="L59" s="212"/>
      <c r="M59" s="213" t="str">
        <f t="shared" si="17"/>
        <v/>
      </c>
      <c r="O59" s="172">
        <f t="shared" si="18"/>
        <v>0</v>
      </c>
      <c r="P59" s="172">
        <f t="shared" si="19"/>
        <v>0</v>
      </c>
    </row>
    <row r="60" spans="1:16" ht="13.5" thickBot="1" x14ac:dyDescent="0.25">
      <c r="A60" s="204" t="s">
        <v>322</v>
      </c>
      <c r="B60" s="205" t="s">
        <v>39</v>
      </c>
      <c r="C60" s="237" t="s">
        <v>323</v>
      </c>
      <c r="D60" s="238">
        <v>9</v>
      </c>
      <c r="E60" s="208"/>
      <c r="F60" s="242" t="s">
        <v>324</v>
      </c>
      <c r="G60" s="210">
        <f t="shared" si="15"/>
        <v>0</v>
      </c>
      <c r="H60" s="211"/>
      <c r="I60" s="212"/>
      <c r="J60" s="213" t="str">
        <f t="shared" si="16"/>
        <v/>
      </c>
      <c r="K60" s="4"/>
      <c r="L60" s="212"/>
      <c r="M60" s="213" t="str">
        <f t="shared" si="17"/>
        <v/>
      </c>
      <c r="O60" s="172">
        <f t="shared" si="18"/>
        <v>0</v>
      </c>
      <c r="P60" s="172">
        <f t="shared" si="19"/>
        <v>0</v>
      </c>
    </row>
    <row r="61" spans="1:16" ht="13.5" thickBot="1" x14ac:dyDescent="0.25">
      <c r="A61" s="204" t="s">
        <v>228</v>
      </c>
      <c r="B61" s="205" t="s">
        <v>39</v>
      </c>
      <c r="C61" s="237" t="s">
        <v>229</v>
      </c>
      <c r="D61" s="238">
        <v>108</v>
      </c>
      <c r="E61" s="208"/>
      <c r="F61" s="242" t="s">
        <v>329</v>
      </c>
      <c r="G61" s="210">
        <f t="shared" si="15"/>
        <v>0</v>
      </c>
      <c r="H61" s="211"/>
      <c r="I61" s="212"/>
      <c r="J61" s="213" t="str">
        <f t="shared" si="16"/>
        <v/>
      </c>
      <c r="K61" s="4"/>
      <c r="L61" s="212"/>
      <c r="M61" s="213" t="str">
        <f t="shared" si="17"/>
        <v/>
      </c>
      <c r="O61" s="172">
        <f t="shared" si="18"/>
        <v>0</v>
      </c>
      <c r="P61" s="172">
        <f t="shared" si="19"/>
        <v>0</v>
      </c>
    </row>
    <row r="62" spans="1:16" ht="13.5" thickBot="1" x14ac:dyDescent="0.25">
      <c r="A62" s="204" t="s">
        <v>325</v>
      </c>
      <c r="B62" s="205" t="s">
        <v>39</v>
      </c>
      <c r="C62" s="237" t="s">
        <v>326</v>
      </c>
      <c r="D62" s="238">
        <v>13</v>
      </c>
      <c r="E62" s="208"/>
      <c r="F62" s="242" t="s">
        <v>46</v>
      </c>
      <c r="G62" s="210">
        <f t="shared" si="15"/>
        <v>0</v>
      </c>
      <c r="H62" s="211"/>
      <c r="I62" s="212"/>
      <c r="J62" s="213" t="str">
        <f t="shared" si="16"/>
        <v/>
      </c>
      <c r="K62" s="4"/>
      <c r="L62" s="212"/>
      <c r="M62" s="213" t="str">
        <f t="shared" si="17"/>
        <v/>
      </c>
      <c r="O62" s="172">
        <f t="shared" si="18"/>
        <v>0</v>
      </c>
      <c r="P62" s="172">
        <f t="shared" si="19"/>
        <v>0</v>
      </c>
    </row>
    <row r="63" spans="1:16" ht="13.5" thickBot="1" x14ac:dyDescent="0.25">
      <c r="A63" s="204" t="s">
        <v>48</v>
      </c>
      <c r="B63" s="205" t="s">
        <v>39</v>
      </c>
      <c r="C63" s="237" t="s">
        <v>230</v>
      </c>
      <c r="D63" s="238">
        <v>27</v>
      </c>
      <c r="E63" s="208"/>
      <c r="F63" s="242" t="s">
        <v>324</v>
      </c>
      <c r="G63" s="210">
        <f t="shared" si="15"/>
        <v>0</v>
      </c>
      <c r="H63" s="211"/>
      <c r="I63" s="212"/>
      <c r="J63" s="213" t="str">
        <f t="shared" si="16"/>
        <v/>
      </c>
      <c r="K63" s="4"/>
      <c r="L63" s="212"/>
      <c r="M63" s="213" t="str">
        <f t="shared" si="17"/>
        <v/>
      </c>
      <c r="O63" s="172">
        <f t="shared" si="18"/>
        <v>0</v>
      </c>
      <c r="P63" s="172">
        <f t="shared" si="19"/>
        <v>0</v>
      </c>
    </row>
    <row r="64" spans="1:16" ht="13.5" thickBot="1" x14ac:dyDescent="0.25">
      <c r="A64" s="204" t="s">
        <v>49</v>
      </c>
      <c r="B64" s="205" t="s">
        <v>39</v>
      </c>
      <c r="C64" s="206">
        <v>8</v>
      </c>
      <c r="D64" s="238">
        <v>8</v>
      </c>
      <c r="E64" s="208"/>
      <c r="F64" s="242" t="s">
        <v>297</v>
      </c>
      <c r="G64" s="210">
        <f t="shared" si="15"/>
        <v>0</v>
      </c>
      <c r="H64" s="211"/>
      <c r="I64" s="212"/>
      <c r="J64" s="213" t="str">
        <f t="shared" si="16"/>
        <v/>
      </c>
      <c r="K64" s="4"/>
      <c r="L64" s="212"/>
      <c r="M64" s="213" t="str">
        <f t="shared" si="17"/>
        <v/>
      </c>
      <c r="O64" s="172">
        <f t="shared" si="18"/>
        <v>0</v>
      </c>
      <c r="P64" s="172">
        <f t="shared" si="19"/>
        <v>0</v>
      </c>
    </row>
    <row r="65" spans="1:16" ht="13.5" thickBot="1" x14ac:dyDescent="0.25">
      <c r="A65" s="204" t="s">
        <v>231</v>
      </c>
      <c r="B65" s="205" t="s">
        <v>39</v>
      </c>
      <c r="C65" s="206">
        <v>39</v>
      </c>
      <c r="D65" s="238">
        <v>39</v>
      </c>
      <c r="E65" s="208"/>
      <c r="F65" s="242" t="s">
        <v>298</v>
      </c>
      <c r="G65" s="210">
        <f t="shared" si="15"/>
        <v>0</v>
      </c>
      <c r="H65" s="211"/>
      <c r="I65" s="212"/>
      <c r="J65" s="213" t="str">
        <f t="shared" si="16"/>
        <v/>
      </c>
      <c r="K65" s="4"/>
      <c r="L65" s="212"/>
      <c r="M65" s="213" t="str">
        <f t="shared" si="17"/>
        <v/>
      </c>
      <c r="O65" s="172">
        <f t="shared" si="18"/>
        <v>0</v>
      </c>
      <c r="P65" s="172">
        <f t="shared" si="19"/>
        <v>0</v>
      </c>
    </row>
    <row r="66" spans="1:16" ht="13.5" thickBot="1" x14ac:dyDescent="0.25">
      <c r="A66" s="204" t="s">
        <v>50</v>
      </c>
      <c r="B66" s="205" t="s">
        <v>39</v>
      </c>
      <c r="C66" s="237" t="s">
        <v>51</v>
      </c>
      <c r="D66" s="238">
        <v>11</v>
      </c>
      <c r="E66" s="208"/>
      <c r="F66" s="242" t="s">
        <v>52</v>
      </c>
      <c r="G66" s="210">
        <f t="shared" si="15"/>
        <v>0</v>
      </c>
      <c r="H66" s="211"/>
      <c r="I66" s="212"/>
      <c r="J66" s="213" t="str">
        <f t="shared" si="16"/>
        <v/>
      </c>
      <c r="K66" s="4"/>
      <c r="L66" s="212"/>
      <c r="M66" s="213" t="str">
        <f t="shared" si="17"/>
        <v/>
      </c>
      <c r="O66" s="172">
        <f t="shared" si="18"/>
        <v>0</v>
      </c>
      <c r="P66" s="172">
        <f t="shared" si="19"/>
        <v>0</v>
      </c>
    </row>
    <row r="67" spans="1:16" ht="13.5" thickBot="1" x14ac:dyDescent="0.25">
      <c r="A67" s="204" t="s">
        <v>170</v>
      </c>
      <c r="B67" s="205" t="s">
        <v>39</v>
      </c>
      <c r="C67" s="237" t="s">
        <v>232</v>
      </c>
      <c r="D67" s="238">
        <v>104</v>
      </c>
      <c r="E67" s="208"/>
      <c r="F67" s="242" t="s">
        <v>53</v>
      </c>
      <c r="G67" s="210">
        <f t="shared" si="15"/>
        <v>0</v>
      </c>
      <c r="H67" s="211"/>
      <c r="I67" s="212"/>
      <c r="J67" s="213" t="str">
        <f t="shared" si="16"/>
        <v/>
      </c>
      <c r="K67" s="4"/>
      <c r="L67" s="212"/>
      <c r="M67" s="213" t="str">
        <f t="shared" si="17"/>
        <v/>
      </c>
      <c r="O67" s="172">
        <f t="shared" si="18"/>
        <v>0</v>
      </c>
      <c r="P67" s="172">
        <f t="shared" si="19"/>
        <v>0</v>
      </c>
    </row>
    <row r="68" spans="1:16" ht="13.5" thickBot="1" x14ac:dyDescent="0.25">
      <c r="A68" s="204" t="s">
        <v>93</v>
      </c>
      <c r="B68" s="205" t="s">
        <v>39</v>
      </c>
      <c r="C68" s="206">
        <v>4788</v>
      </c>
      <c r="D68" s="238">
        <v>4788</v>
      </c>
      <c r="E68" s="208"/>
      <c r="F68" s="242" t="s">
        <v>299</v>
      </c>
      <c r="G68" s="210">
        <f t="shared" si="15"/>
        <v>0</v>
      </c>
      <c r="H68" s="211"/>
      <c r="I68" s="212"/>
      <c r="J68" s="213" t="str">
        <f t="shared" si="16"/>
        <v/>
      </c>
      <c r="K68" s="4"/>
      <c r="L68" s="212"/>
      <c r="M68" s="213" t="str">
        <f t="shared" si="17"/>
        <v/>
      </c>
      <c r="O68" s="172">
        <f t="shared" si="18"/>
        <v>0</v>
      </c>
      <c r="P68" s="172">
        <f t="shared" si="19"/>
        <v>0</v>
      </c>
    </row>
    <row r="69" spans="1:16" ht="13.5" thickBot="1" x14ac:dyDescent="0.25">
      <c r="A69" s="204" t="s">
        <v>233</v>
      </c>
      <c r="B69" s="205" t="s">
        <v>39</v>
      </c>
      <c r="C69" s="206">
        <v>1543</v>
      </c>
      <c r="D69" s="238">
        <v>1543</v>
      </c>
      <c r="E69" s="208"/>
      <c r="F69" s="242" t="s">
        <v>300</v>
      </c>
      <c r="G69" s="210">
        <f t="shared" si="15"/>
        <v>0</v>
      </c>
      <c r="H69" s="211"/>
      <c r="I69" s="212"/>
      <c r="J69" s="213" t="str">
        <f t="shared" si="16"/>
        <v/>
      </c>
      <c r="K69" s="4"/>
      <c r="L69" s="212"/>
      <c r="M69" s="213" t="str">
        <f t="shared" si="17"/>
        <v/>
      </c>
      <c r="O69" s="172">
        <f t="shared" si="18"/>
        <v>0</v>
      </c>
      <c r="P69" s="172">
        <f t="shared" si="19"/>
        <v>0</v>
      </c>
    </row>
    <row r="70" spans="1:16" ht="13.5" thickBot="1" x14ac:dyDescent="0.25">
      <c r="A70" s="204" t="s">
        <v>234</v>
      </c>
      <c r="B70" s="205" t="s">
        <v>39</v>
      </c>
      <c r="C70" s="206">
        <v>813</v>
      </c>
      <c r="D70" s="238">
        <v>813</v>
      </c>
      <c r="E70" s="208"/>
      <c r="F70" s="242" t="s">
        <v>301</v>
      </c>
      <c r="G70" s="210">
        <f t="shared" si="15"/>
        <v>0</v>
      </c>
      <c r="H70" s="211"/>
      <c r="I70" s="212"/>
      <c r="J70" s="213" t="str">
        <f t="shared" si="16"/>
        <v/>
      </c>
      <c r="K70" s="4"/>
      <c r="L70" s="212"/>
      <c r="M70" s="213" t="str">
        <f t="shared" si="17"/>
        <v/>
      </c>
      <c r="O70" s="172">
        <f t="shared" si="18"/>
        <v>0</v>
      </c>
      <c r="P70" s="172">
        <f t="shared" si="19"/>
        <v>0</v>
      </c>
    </row>
    <row r="71" spans="1:16" ht="13.5" thickBot="1" x14ac:dyDescent="0.25">
      <c r="A71" s="174"/>
      <c r="B71" s="175"/>
      <c r="C71" s="176"/>
      <c r="D71" s="176"/>
      <c r="E71" s="176"/>
      <c r="F71" s="182"/>
      <c r="G71" s="183"/>
      <c r="H71" s="253" t="s">
        <v>68</v>
      </c>
      <c r="I71" s="351">
        <f>SUM(J53:J70)+SUMIF($Q$97:$Q$106,4,$J$97:$J$106)</f>
        <v>0</v>
      </c>
      <c r="J71" s="352"/>
      <c r="K71" s="250"/>
      <c r="L71" s="251"/>
      <c r="M71" s="252">
        <f>SUM(M53:M70)+SUMIF($Q$97:$Q$106,4,$M$97:$M$106)</f>
        <v>0</v>
      </c>
    </row>
    <row r="72" spans="1:16" ht="18.75" thickBot="1" x14ac:dyDescent="0.25">
      <c r="A72" s="298" t="s">
        <v>54</v>
      </c>
      <c r="B72" s="299"/>
      <c r="C72" s="299"/>
      <c r="D72" s="299"/>
      <c r="E72" s="299"/>
      <c r="F72" s="299"/>
      <c r="G72" s="201"/>
      <c r="H72" s="221"/>
      <c r="I72" s="222"/>
      <c r="J72" s="224"/>
      <c r="K72" s="4"/>
    </row>
    <row r="73" spans="1:16" ht="13.5" thickBot="1" x14ac:dyDescent="0.25">
      <c r="A73" s="204" t="s">
        <v>88</v>
      </c>
      <c r="B73" s="205" t="s">
        <v>13</v>
      </c>
      <c r="C73" s="237" t="s">
        <v>235</v>
      </c>
      <c r="D73" s="238">
        <v>810</v>
      </c>
      <c r="E73" s="208"/>
      <c r="F73" s="242" t="s">
        <v>302</v>
      </c>
      <c r="G73" s="210">
        <f>IF(L73&gt;0,IF(I73&gt;0,(I73-L73)/I73,0),IF(L73="",0,IF(I73&gt;0,I73/I73,0)))</f>
        <v>0</v>
      </c>
      <c r="H73" s="211"/>
      <c r="I73" s="212"/>
      <c r="J73" s="213" t="str">
        <f>IF(AND(ISNUMBER(L73),OR(L73&lt;&gt;0,L73&lt;&gt;"")),IF(AND(ISNUMBER(I73),OR(I73&lt;&gt;0,I73&lt;&gt;"")),IF(E73&gt;0,E73*G73*I73,I73*D73*G73),""),IF(AND(ISNUMBER(I73),OR(I73&lt;&gt;0,I73&lt;&gt;"")),IF(E73&gt;0,IF(H73&gt;0,E73*H73*I73,E73*G73*I73),IF(H73&gt;0,I73*D73*H73,I73*D73*G73)),""))</f>
        <v/>
      </c>
      <c r="K73" s="4"/>
      <c r="L73" s="212"/>
      <c r="M73" s="213" t="str">
        <f>IF(OR(I73&gt;0,L73&gt;0),IF(E73&gt;0,(I73-L73)*E73,(I73-L73)*D73),"")</f>
        <v/>
      </c>
      <c r="O73" s="172">
        <f>IF(E73&gt;0,I73*E73,I73*D73)</f>
        <v>0</v>
      </c>
      <c r="P73" s="172">
        <f>IF(E73&gt;0,L73*E73,L73*D73)</f>
        <v>0</v>
      </c>
    </row>
    <row r="74" spans="1:16" ht="13.5" thickBot="1" x14ac:dyDescent="0.25">
      <c r="A74" s="204" t="s">
        <v>236</v>
      </c>
      <c r="B74" s="205" t="s">
        <v>39</v>
      </c>
      <c r="C74" s="237" t="s">
        <v>222</v>
      </c>
      <c r="D74" s="238">
        <v>142</v>
      </c>
      <c r="E74" s="208"/>
      <c r="F74" s="242" t="s">
        <v>303</v>
      </c>
      <c r="G74" s="210">
        <f>IF(L74&gt;0,IF(I74&gt;0,(I74-L74)/I74,0),IF(L74="",0,IF(I74&gt;0,I74/I74,0)))</f>
        <v>0</v>
      </c>
      <c r="H74" s="211"/>
      <c r="I74" s="212"/>
      <c r="J74" s="213" t="str">
        <f>IF(AND(ISNUMBER(L74),OR(L74&lt;&gt;0,L74&lt;&gt;"")),IF(AND(ISNUMBER(I74),OR(I74&lt;&gt;0,I74&lt;&gt;"")),IF(E74&gt;0,E74*G74*I74,I74*D74*G74),""),IF(AND(ISNUMBER(I74),OR(I74&lt;&gt;0,I74&lt;&gt;"")),IF(E74&gt;0,IF(H74&gt;0,E74*H74*I74,E74*G74*I74),IF(H74&gt;0,I74*D74*H74,I74*D74*G74)),""))</f>
        <v/>
      </c>
      <c r="K74" s="4"/>
      <c r="L74" s="212"/>
      <c r="M74" s="213" t="str">
        <f>IF(OR(I74&gt;0,L74&gt;0),IF(E74&gt;0,(I74-L74)*E74,(I74-L74)*D74),"")</f>
        <v/>
      </c>
      <c r="O74" s="172">
        <f>IF(E74&gt;0,I74*E74,I74*D74)</f>
        <v>0</v>
      </c>
      <c r="P74" s="172">
        <f>IF(E74&gt;0,L74*E74,L74*D74)</f>
        <v>0</v>
      </c>
    </row>
    <row r="75" spans="1:16" ht="13.5" thickBot="1" x14ac:dyDescent="0.25">
      <c r="A75" s="204" t="s">
        <v>55</v>
      </c>
      <c r="B75" s="205" t="s">
        <v>39</v>
      </c>
      <c r="C75" s="237" t="s">
        <v>165</v>
      </c>
      <c r="D75" s="238">
        <v>44</v>
      </c>
      <c r="E75" s="208"/>
      <c r="F75" s="242" t="s">
        <v>304</v>
      </c>
      <c r="G75" s="210">
        <f>IF(L75&gt;0,IF(I75&gt;0,(I75-L75)/I75,0),IF(L75="",0,IF(I75&gt;0,I75/I75,0)))</f>
        <v>0</v>
      </c>
      <c r="H75" s="211"/>
      <c r="I75" s="212"/>
      <c r="J75" s="213" t="str">
        <f>IF(AND(ISNUMBER(L75),OR(L75&lt;&gt;0,L75&lt;&gt;"")),IF(AND(ISNUMBER(I75),OR(I75&lt;&gt;0,I75&lt;&gt;"")),IF(E75&gt;0,E75*G75*I75,I75*D75*G75),""),IF(AND(ISNUMBER(I75),OR(I75&lt;&gt;0,I75&lt;&gt;"")),IF(E75&gt;0,IF(H75&gt;0,E75*H75*I75,E75*G75*I75),IF(H75&gt;0,I75*D75*H75,I75*D75*G75)),""))</f>
        <v/>
      </c>
      <c r="K75" s="4"/>
      <c r="L75" s="212"/>
      <c r="M75" s="213" t="str">
        <f>IF(OR(I75&gt;0,L75&gt;0),IF(E75&gt;0,(I75-L75)*E75,(I75-L75)*D75),"")</f>
        <v/>
      </c>
      <c r="O75" s="172">
        <f>IF(E75&gt;0,I75*E75,I75*D75)</f>
        <v>0</v>
      </c>
      <c r="P75" s="172">
        <f>IF(E75&gt;0,L75*E75,L75*D75)</f>
        <v>0</v>
      </c>
    </row>
    <row r="76" spans="1:16" ht="13.5" thickBot="1" x14ac:dyDescent="0.25">
      <c r="A76" s="204" t="s">
        <v>237</v>
      </c>
      <c r="B76" s="205" t="s">
        <v>39</v>
      </c>
      <c r="C76" s="240">
        <v>40</v>
      </c>
      <c r="D76" s="238">
        <v>40</v>
      </c>
      <c r="E76" s="208"/>
      <c r="F76" s="242" t="s">
        <v>306</v>
      </c>
      <c r="G76" s="210">
        <f>IF(L76&gt;0,IF(I76&gt;0,(I76-L76)/I76,0),IF(L76="",0,IF(I76&gt;0,I76/I76,0)))</f>
        <v>0</v>
      </c>
      <c r="H76" s="211"/>
      <c r="I76" s="212"/>
      <c r="J76" s="213" t="str">
        <f>IF(AND(ISNUMBER(L76),OR(L76&lt;&gt;0,L76&lt;&gt;"")),IF(AND(ISNUMBER(I76),OR(I76&lt;&gt;0,I76&lt;&gt;"")),IF(E76&gt;0,E76*G76*I76,I76*D76*G76),""),IF(AND(ISNUMBER(I76),OR(I76&lt;&gt;0,I76&lt;&gt;"")),IF(E76&gt;0,IF(H76&gt;0,E76*H76*I76,E76*G76*I76),IF(H76&gt;0,I76*D76*H76,I76*D76*G76)),""))</f>
        <v/>
      </c>
      <c r="K76" s="4"/>
      <c r="L76" s="212"/>
      <c r="M76" s="213" t="str">
        <f>IF(OR(I76&gt;0,L76&gt;0),IF(E76&gt;0,(I76-L76)*E76,(I76-L76)*D76),"")</f>
        <v/>
      </c>
      <c r="O76" s="172">
        <f>IF(E76&gt;0,I76*E76,I76*D76)</f>
        <v>0</v>
      </c>
      <c r="P76" s="172">
        <f>IF(E76&gt;0,L76*E76,L76*D76)</f>
        <v>0</v>
      </c>
    </row>
    <row r="77" spans="1:16" ht="13.5" thickBot="1" x14ac:dyDescent="0.25">
      <c r="A77" s="204" t="s">
        <v>166</v>
      </c>
      <c r="B77" s="205" t="s">
        <v>39</v>
      </c>
      <c r="C77" s="237" t="s">
        <v>215</v>
      </c>
      <c r="D77" s="238">
        <v>55</v>
      </c>
      <c r="E77" s="208"/>
      <c r="F77" s="242" t="s">
        <v>305</v>
      </c>
      <c r="G77" s="210">
        <f>IF(L77&gt;0,IF(I77&gt;0,(I77-L77)/I77,0),IF(L77="",0,IF(I77&gt;0,I77/I77,0)))</f>
        <v>0</v>
      </c>
      <c r="H77" s="211"/>
      <c r="I77" s="212"/>
      <c r="J77" s="213" t="str">
        <f>IF(AND(ISNUMBER(L77),OR(L77&lt;&gt;0,L77&lt;&gt;"")),IF(AND(ISNUMBER(I77),OR(I77&lt;&gt;0,I77&lt;&gt;"")),IF(E77&gt;0,E77*G77*I77,I77*D77*G77),""),IF(AND(ISNUMBER(I77),OR(I77&lt;&gt;0,I77&lt;&gt;"")),IF(E77&gt;0,IF(H77&gt;0,E77*H77*I77,E77*G77*I77),IF(H77&gt;0,I77*D77*H77,I77*D77*G77)),""))</f>
        <v/>
      </c>
      <c r="K77" s="4"/>
      <c r="L77" s="212"/>
      <c r="M77" s="213" t="str">
        <f>IF(OR(I77&gt;0,L77&gt;0),IF(E77&gt;0,(I77-L77)*E77,(I77-L77)*D77),"")</f>
        <v/>
      </c>
      <c r="O77" s="172">
        <f>IF(E77&gt;0,I77*E77,I77*D77)</f>
        <v>0</v>
      </c>
      <c r="P77" s="172">
        <f>IF(E77&gt;0,L77*E77,L77*D77)</f>
        <v>0</v>
      </c>
    </row>
    <row r="78" spans="1:16" ht="13.5" thickBot="1" x14ac:dyDescent="0.25">
      <c r="A78" s="174"/>
      <c r="B78" s="175"/>
      <c r="C78" s="176"/>
      <c r="D78" s="176"/>
      <c r="E78" s="176"/>
      <c r="F78" s="182"/>
      <c r="G78" s="183"/>
      <c r="H78" s="253" t="s">
        <v>68</v>
      </c>
      <c r="I78" s="351">
        <f>SUM(J73:J77)+SUMIF($Q$97:$Q$106,2,$J$97:$J$106)</f>
        <v>0</v>
      </c>
      <c r="J78" s="352"/>
      <c r="K78" s="250"/>
      <c r="L78" s="251"/>
      <c r="M78" s="252">
        <f>SUM(M73:M77)+SUMIF($Q$97:$Q$106,2,$M$97:$M$106)</f>
        <v>0</v>
      </c>
    </row>
    <row r="79" spans="1:16" ht="18.75" thickBot="1" x14ac:dyDescent="0.25">
      <c r="A79" s="298" t="s">
        <v>56</v>
      </c>
      <c r="B79" s="299"/>
      <c r="C79" s="299"/>
      <c r="D79" s="299"/>
      <c r="E79" s="299"/>
      <c r="F79" s="299"/>
      <c r="G79" s="201"/>
      <c r="H79" s="221"/>
      <c r="I79" s="222"/>
      <c r="J79" s="225"/>
      <c r="K79" s="4"/>
    </row>
    <row r="80" spans="1:16" ht="13.5" thickBot="1" x14ac:dyDescent="0.25">
      <c r="A80" s="204" t="s">
        <v>57</v>
      </c>
      <c r="B80" s="205" t="s">
        <v>58</v>
      </c>
      <c r="C80" s="206" t="s">
        <v>238</v>
      </c>
      <c r="D80" s="238">
        <v>52</v>
      </c>
      <c r="E80" s="208"/>
      <c r="F80" s="242" t="s">
        <v>307</v>
      </c>
      <c r="G80" s="210">
        <f t="shared" ref="G80:G89" si="20">IF(L80&gt;0,IF(I80&gt;0,(I80-L80)/I80,0),IF(L80="",0,IF(I80&gt;0,I80/I80,0)))</f>
        <v>0</v>
      </c>
      <c r="H80" s="211"/>
      <c r="I80" s="212"/>
      <c r="J80" s="213" t="str">
        <f t="shared" ref="J80:J86" si="21">IF(AND(ISNUMBER(L80),OR(L80&lt;&gt;0,L80&lt;&gt;"")),IF(AND(ISNUMBER(I80),OR(I80&lt;&gt;0,I80&lt;&gt;"")),IF(E80&gt;0,E80*G80*I80,I80*D80*G80),""),IF(AND(ISNUMBER(I80),OR(I80&lt;&gt;0,I80&lt;&gt;"")),IF(E80&gt;0,IF(H80&gt;0,E80*H80*I80,E80*G80*I80),IF(H80&gt;0,I80*D80*H80,I80*D80*G80)),""))</f>
        <v/>
      </c>
      <c r="K80" s="4"/>
      <c r="L80" s="212"/>
      <c r="M80" s="213" t="str">
        <f t="shared" ref="M80:M86" si="22">IF(OR(I80&gt;0,L80&gt;0),IF(E80&gt;0,(I80-L80)*E80,(I80-L80)*D80),"")</f>
        <v/>
      </c>
      <c r="O80" s="172">
        <f t="shared" ref="O80:O86" si="23">IF(E80&gt;0,I80*E80,I80*D80)</f>
        <v>0</v>
      </c>
      <c r="P80" s="172">
        <f t="shared" ref="P80:P86" si="24">IF(E80&gt;0,L80*E80,L80*D80)</f>
        <v>0</v>
      </c>
    </row>
    <row r="81" spans="1:16" ht="13.5" thickBot="1" x14ac:dyDescent="0.25">
      <c r="A81" s="204" t="s">
        <v>59</v>
      </c>
      <c r="B81" s="205" t="s">
        <v>58</v>
      </c>
      <c r="C81" s="206" t="s">
        <v>239</v>
      </c>
      <c r="D81" s="238">
        <v>39</v>
      </c>
      <c r="E81" s="208"/>
      <c r="F81" s="242" t="s">
        <v>308</v>
      </c>
      <c r="G81" s="210">
        <f t="shared" si="20"/>
        <v>0</v>
      </c>
      <c r="H81" s="211"/>
      <c r="I81" s="212"/>
      <c r="J81" s="213" t="str">
        <f t="shared" si="21"/>
        <v/>
      </c>
      <c r="K81" s="4"/>
      <c r="L81" s="212"/>
      <c r="M81" s="213" t="str">
        <f t="shared" si="22"/>
        <v/>
      </c>
      <c r="O81" s="172">
        <f t="shared" si="23"/>
        <v>0</v>
      </c>
      <c r="P81" s="172">
        <f t="shared" si="24"/>
        <v>0</v>
      </c>
    </row>
    <row r="82" spans="1:16" ht="13.5" thickBot="1" x14ac:dyDescent="0.25">
      <c r="A82" s="204" t="s">
        <v>60</v>
      </c>
      <c r="B82" s="205" t="s">
        <v>58</v>
      </c>
      <c r="C82" s="206" t="s">
        <v>240</v>
      </c>
      <c r="D82" s="207">
        <v>32</v>
      </c>
      <c r="E82" s="208"/>
      <c r="F82" s="242" t="s">
        <v>309</v>
      </c>
      <c r="G82" s="210">
        <f t="shared" si="20"/>
        <v>0</v>
      </c>
      <c r="H82" s="211"/>
      <c r="I82" s="212"/>
      <c r="J82" s="213" t="str">
        <f t="shared" si="21"/>
        <v/>
      </c>
      <c r="K82" s="4"/>
      <c r="L82" s="212"/>
      <c r="M82" s="213" t="str">
        <f t="shared" si="22"/>
        <v/>
      </c>
      <c r="O82" s="172">
        <f t="shared" si="23"/>
        <v>0</v>
      </c>
      <c r="P82" s="172">
        <f t="shared" si="24"/>
        <v>0</v>
      </c>
    </row>
    <row r="83" spans="1:16" ht="13.5" thickBot="1" x14ac:dyDescent="0.25">
      <c r="A83" s="204" t="s">
        <v>61</v>
      </c>
      <c r="B83" s="205" t="s">
        <v>58</v>
      </c>
      <c r="C83" s="206" t="s">
        <v>240</v>
      </c>
      <c r="D83" s="207">
        <v>32</v>
      </c>
      <c r="E83" s="208"/>
      <c r="F83" s="242" t="s">
        <v>62</v>
      </c>
      <c r="G83" s="210">
        <f t="shared" si="20"/>
        <v>0</v>
      </c>
      <c r="H83" s="211"/>
      <c r="I83" s="212"/>
      <c r="J83" s="213" t="str">
        <f t="shared" si="21"/>
        <v/>
      </c>
      <c r="K83" s="4"/>
      <c r="L83" s="212"/>
      <c r="M83" s="213" t="str">
        <f t="shared" si="22"/>
        <v/>
      </c>
      <c r="O83" s="172">
        <f t="shared" si="23"/>
        <v>0</v>
      </c>
      <c r="P83" s="172">
        <f t="shared" si="24"/>
        <v>0</v>
      </c>
    </row>
    <row r="84" spans="1:16" ht="13.5" thickBot="1" x14ac:dyDescent="0.25">
      <c r="A84" s="204" t="s">
        <v>63</v>
      </c>
      <c r="B84" s="205" t="s">
        <v>58</v>
      </c>
      <c r="C84" s="206" t="s">
        <v>240</v>
      </c>
      <c r="D84" s="207">
        <v>32</v>
      </c>
      <c r="E84" s="208"/>
      <c r="F84" s="242" t="s">
        <v>62</v>
      </c>
      <c r="G84" s="210">
        <f t="shared" si="20"/>
        <v>0</v>
      </c>
      <c r="H84" s="211"/>
      <c r="I84" s="212"/>
      <c r="J84" s="213" t="str">
        <f t="shared" si="21"/>
        <v/>
      </c>
      <c r="K84" s="4"/>
      <c r="L84" s="212"/>
      <c r="M84" s="213" t="str">
        <f t="shared" si="22"/>
        <v/>
      </c>
      <c r="O84" s="172">
        <f t="shared" si="23"/>
        <v>0</v>
      </c>
      <c r="P84" s="172">
        <f t="shared" si="24"/>
        <v>0</v>
      </c>
    </row>
    <row r="85" spans="1:16" ht="13.5" thickBot="1" x14ac:dyDescent="0.25">
      <c r="A85" s="204" t="s">
        <v>64</v>
      </c>
      <c r="B85" s="205" t="s">
        <v>58</v>
      </c>
      <c r="C85" s="237" t="s">
        <v>241</v>
      </c>
      <c r="D85" s="207">
        <v>248</v>
      </c>
      <c r="E85" s="208"/>
      <c r="F85" s="242" t="s">
        <v>311</v>
      </c>
      <c r="G85" s="210">
        <f t="shared" si="20"/>
        <v>0</v>
      </c>
      <c r="H85" s="211"/>
      <c r="I85" s="212"/>
      <c r="J85" s="213" t="str">
        <f t="shared" si="21"/>
        <v/>
      </c>
      <c r="K85" s="4"/>
      <c r="L85" s="212"/>
      <c r="M85" s="213" t="str">
        <f t="shared" si="22"/>
        <v/>
      </c>
      <c r="O85" s="172">
        <f t="shared" si="23"/>
        <v>0</v>
      </c>
      <c r="P85" s="172">
        <f t="shared" si="24"/>
        <v>0</v>
      </c>
    </row>
    <row r="86" spans="1:16" ht="13.5" thickBot="1" x14ac:dyDescent="0.25">
      <c r="A86" s="204" t="s">
        <v>65</v>
      </c>
      <c r="B86" s="205" t="s">
        <v>58</v>
      </c>
      <c r="C86" s="206">
        <v>81</v>
      </c>
      <c r="D86" s="207">
        <v>81</v>
      </c>
      <c r="E86" s="208"/>
      <c r="F86" s="242" t="s">
        <v>310</v>
      </c>
      <c r="G86" s="210">
        <f t="shared" si="20"/>
        <v>0</v>
      </c>
      <c r="H86" s="211"/>
      <c r="I86" s="212"/>
      <c r="J86" s="213" t="str">
        <f t="shared" si="21"/>
        <v/>
      </c>
      <c r="K86" s="4"/>
      <c r="L86" s="212"/>
      <c r="M86" s="213" t="str">
        <f t="shared" si="22"/>
        <v/>
      </c>
      <c r="O86" s="172">
        <f t="shared" si="23"/>
        <v>0</v>
      </c>
      <c r="P86" s="172">
        <f t="shared" si="24"/>
        <v>0</v>
      </c>
    </row>
    <row r="87" spans="1:16" ht="26.25" thickBot="1" x14ac:dyDescent="0.25">
      <c r="A87" s="204" t="s">
        <v>200</v>
      </c>
      <c r="B87" s="205" t="s">
        <v>7</v>
      </c>
      <c r="C87" s="237" t="s">
        <v>242</v>
      </c>
      <c r="D87" s="207">
        <v>1898</v>
      </c>
      <c r="E87" s="208"/>
      <c r="F87" s="242" t="s">
        <v>312</v>
      </c>
      <c r="G87" s="210">
        <f t="shared" si="20"/>
        <v>0</v>
      </c>
      <c r="H87" s="211"/>
      <c r="I87" s="212"/>
      <c r="J87" s="213" t="str">
        <f>IF(AND(ISNUMBER(L87),OR(L87&lt;&gt;0,L87&lt;&gt;"")),IF(AND(ISNUMBER(I87),OR(I87&lt;&gt;0,I87&lt;&gt;"")),IF(E87&gt;0,E87*G87*I87,I87*D87*G87+6036),""),IF(AND(ISNUMBER(I87),OR(I87&lt;&gt;0,I87&lt;&gt;"")),IF(E87&gt;0,IF(H87&gt;0,E87*H87*I87,E87*G87*I87),IF(H87&gt;0,I87*D87*H87,I87*D87*G87+6036)),""))</f>
        <v/>
      </c>
      <c r="K87" s="4"/>
      <c r="L87" s="212"/>
      <c r="M87" s="213" t="str">
        <f>IF(AND(I87&gt;0,L87&gt;0),IF(E87&gt;0,(I87-L87)*E87,(I87-L87)*D87),IF(AND(I87&gt;0,L87=0),(I87-L87)*D87+6036,IF(AND(I87=0,L87&gt;0),(I87-L87)*D87-6036,"")))</f>
        <v/>
      </c>
      <c r="O87" s="172">
        <f>IF(I87&gt;0,IF(E87&gt;0,I87*E87,I87*D87+6036),0)</f>
        <v>0</v>
      </c>
      <c r="P87" s="172">
        <f>IF(L87&gt;0,IF(E87&gt;0,L87*E87,L87*D87+6036),0)</f>
        <v>0</v>
      </c>
    </row>
    <row r="88" spans="1:16" ht="26.25" thickBot="1" x14ac:dyDescent="0.25">
      <c r="A88" s="204" t="s">
        <v>201</v>
      </c>
      <c r="B88" s="205" t="s">
        <v>7</v>
      </c>
      <c r="C88" s="237" t="s">
        <v>243</v>
      </c>
      <c r="D88" s="207">
        <v>15050</v>
      </c>
      <c r="E88" s="208"/>
      <c r="F88" s="242"/>
      <c r="G88" s="210">
        <f t="shared" si="20"/>
        <v>0</v>
      </c>
      <c r="H88" s="211"/>
      <c r="I88" s="212"/>
      <c r="J88" s="213" t="str">
        <f>IF(AND(ISNUMBER(L88),OR(L88&lt;&gt;0,L88&lt;&gt;"")),IF(AND(ISNUMBER(I88),OR(I88&lt;&gt;0,I88&lt;&gt;"")),IF(E88&gt;0,E88*G88*I88,I88*D88*G88+6186),""),IF(AND(ISNUMBER(I88),OR(I88&lt;&gt;0,I88&lt;&gt;"")),IF(E88&gt;0,IF(H88&gt;0,E88*H88*I88,E88*G88*I88),IF(H88&gt;0,I88*D88*H88,I88*D88*G88+6186)),""))</f>
        <v/>
      </c>
      <c r="K88" s="4"/>
      <c r="L88" s="212"/>
      <c r="M88" s="213" t="str">
        <f>IF(AND(I88&gt;0,L88&gt;0),IF(E88&gt;0,(I88-L88)*E88,(I88-L88)*D88),IF(AND(I88&gt;0,L88=0),(I88-L88)*D88+6186,IF(AND(I88=0,L88&gt;0),(I88-L88)*D88-6186,"")))</f>
        <v/>
      </c>
      <c r="O88" s="172">
        <f>IF(I88&gt;0,IF(E88&gt;0,I88*E88,I88*D88+6186),0)</f>
        <v>0</v>
      </c>
      <c r="P88" s="172">
        <f>IF(L88&gt;0,IF(E88&gt;0,L88*E88,L88*D88+6186),0)</f>
        <v>0</v>
      </c>
    </row>
    <row r="89" spans="1:16" ht="26.25" thickBot="1" x14ac:dyDescent="0.25">
      <c r="A89" s="204" t="s">
        <v>138</v>
      </c>
      <c r="B89" s="205" t="s">
        <v>7</v>
      </c>
      <c r="C89" s="237" t="s">
        <v>244</v>
      </c>
      <c r="D89" s="207">
        <v>381</v>
      </c>
      <c r="E89" s="208"/>
      <c r="F89" s="242"/>
      <c r="G89" s="210">
        <f t="shared" si="20"/>
        <v>0</v>
      </c>
      <c r="H89" s="211"/>
      <c r="I89" s="212"/>
      <c r="J89" s="213" t="str">
        <f>IF(AND(ISNUMBER(L89),OR(L89&lt;&gt;0,L89&lt;&gt;"")),IF(AND(ISNUMBER(I89),OR(I89&lt;&gt;0,I89&lt;&gt;"")),IF(E89&gt;0,E89*G89*I89,I89*D89*G89+6186),""),IF(AND(ISNUMBER(I89),OR(I89&lt;&gt;0,I89&lt;&gt;"")),IF(E89&gt;0,IF(H89&gt;0,E89*H89*I89,E89*G89*I89),IF(H89&gt;0,I89*D89*H89,I89*D89*G89+6186)),""))</f>
        <v/>
      </c>
      <c r="K89" s="4"/>
      <c r="L89" s="212"/>
      <c r="M89" s="213" t="str">
        <f>IF(AND(I89&gt;0,L89&gt;0),IF(E89&gt;0,(I89-L89)*E89,(I89-L89)*D89),IF(AND(I89&gt;0,L89=0),(I89-L89)*D89+6186,IF(AND(I89=0,L89&gt;0),(I89-L89)*D89-6186,"")))</f>
        <v/>
      </c>
      <c r="O89" s="172">
        <f>IF(I89&gt;0,IF(E89&gt;0,I89*E89,I89*D89+6186),0)</f>
        <v>0</v>
      </c>
      <c r="P89" s="172">
        <f>IF(L89&gt;0,IF(E89&gt;0,L89*E89,L89*D89+6186),0)</f>
        <v>0</v>
      </c>
    </row>
    <row r="90" spans="1:16" ht="13.5" thickBot="1" x14ac:dyDescent="0.25">
      <c r="A90" s="226" t="s">
        <v>66</v>
      </c>
      <c r="B90" s="173"/>
      <c r="C90" s="227"/>
      <c r="D90" s="228"/>
      <c r="E90" s="229"/>
      <c r="F90" s="184"/>
      <c r="G90" s="230"/>
      <c r="H90" s="231"/>
      <c r="I90" s="232"/>
      <c r="J90" s="233"/>
      <c r="K90" s="4"/>
      <c r="L90" s="234"/>
      <c r="M90" s="235"/>
    </row>
    <row r="91" spans="1:16" ht="13.5" thickBot="1" x14ac:dyDescent="0.25">
      <c r="A91" s="243" t="s">
        <v>89</v>
      </c>
      <c r="B91" s="205" t="s">
        <v>7</v>
      </c>
      <c r="C91" s="206" t="s">
        <v>330</v>
      </c>
      <c r="D91" s="207">
        <v>-570</v>
      </c>
      <c r="E91" s="208"/>
      <c r="F91" s="242" t="s">
        <v>334</v>
      </c>
      <c r="G91" s="210" t="s">
        <v>169</v>
      </c>
      <c r="H91" s="211"/>
      <c r="I91" s="212"/>
      <c r="J91" s="213" t="str">
        <f>IF(AND(ISNUMBER(L91),OR(L91&lt;&gt;0,L91&lt;&gt;"")),IF(AND(ISNUMBER(I91),OR(I91&lt;&gt;0,I91&lt;&gt;"")),IF(E91&gt;0,E91*I91,I91*D91),""),IF(AND(ISNUMBER(I91),OR(I91&lt;&gt;0,I91&lt;&gt;"")),IF(E91&gt;0,IF(H91&gt;0,E91*H91*I91,E91*I91),IF(H91&gt;0,I91*D91*H91,I91*D91)),""))</f>
        <v/>
      </c>
      <c r="K91" s="4"/>
      <c r="L91" s="212"/>
      <c r="M91" s="213" t="str">
        <f>IF(OR(I91&gt;0,L91&gt;0),IF(E91&gt;0,(I91+L91)*E91,(I91+L91)*D91),"")</f>
        <v/>
      </c>
      <c r="O91" s="172">
        <f>IF(E91&gt;0,ABS(I91*E91),ABS(I91*D91))</f>
        <v>0</v>
      </c>
      <c r="P91" s="172">
        <f>IF(E91&gt;0,ABS(L91*E91),ABS(L91*D91))</f>
        <v>0</v>
      </c>
    </row>
    <row r="92" spans="1:16" ht="13.5" thickBot="1" x14ac:dyDescent="0.25">
      <c r="A92" s="243" t="s">
        <v>90</v>
      </c>
      <c r="B92" s="205" t="s">
        <v>7</v>
      </c>
      <c r="C92" s="206" t="s">
        <v>331</v>
      </c>
      <c r="D92" s="207">
        <v>-821</v>
      </c>
      <c r="E92" s="208"/>
      <c r="F92" s="242" t="s">
        <v>334</v>
      </c>
      <c r="G92" s="210" t="s">
        <v>169</v>
      </c>
      <c r="H92" s="211"/>
      <c r="I92" s="212"/>
      <c r="J92" s="213" t="str">
        <f>IF(AND(ISNUMBER(L92),OR(L92&lt;&gt;0,L92&lt;&gt;"")),IF(AND(ISNUMBER(I92),OR(I92&lt;&gt;0,I92&lt;&gt;"")),IF(E92&gt;0,E92*I92,I92*D92),""),IF(AND(ISNUMBER(I92),OR(I92&lt;&gt;0,I92&lt;&gt;"")),IF(E92&gt;0,IF(H92&gt;0,E92*H92*I92,E92*I92),IF(H92&gt;0,I92*D92*H92,I92*D92)),""))</f>
        <v/>
      </c>
      <c r="K92" s="4"/>
      <c r="L92" s="212"/>
      <c r="M92" s="213" t="str">
        <f>IF(OR(I92&gt;0,L92&gt;0),IF(E92&gt;0,(I92+L92)*E92,(I92+L92)*D92),"")</f>
        <v/>
      </c>
      <c r="O92" s="172">
        <f>IF(E92&gt;0,ABS(I92*E92),ABS(I92*D92))</f>
        <v>0</v>
      </c>
      <c r="P92" s="172">
        <f>IF(E92&gt;0,ABS(L92*E92),ABS(L92*D92))</f>
        <v>0</v>
      </c>
    </row>
    <row r="93" spans="1:16" ht="13.5" thickBot="1" x14ac:dyDescent="0.25">
      <c r="A93" s="243" t="s">
        <v>91</v>
      </c>
      <c r="B93" s="205" t="s">
        <v>7</v>
      </c>
      <c r="C93" s="206" t="s">
        <v>332</v>
      </c>
      <c r="D93" s="207">
        <v>-2282</v>
      </c>
      <c r="E93" s="208"/>
      <c r="F93" s="242" t="s">
        <v>334</v>
      </c>
      <c r="G93" s="210" t="s">
        <v>169</v>
      </c>
      <c r="H93" s="211"/>
      <c r="I93" s="212"/>
      <c r="J93" s="213" t="str">
        <f>IF(AND(ISNUMBER(L93),OR(L93&lt;&gt;0,L93&lt;&gt;"")),IF(AND(ISNUMBER(I93),OR(I93&lt;&gt;0,I93&lt;&gt;"")),IF(E93&gt;0,E93*I93,I93*D93),""),IF(AND(ISNUMBER(I93),OR(I93&lt;&gt;0,I93&lt;&gt;"")),IF(E93&gt;0,IF(H93&gt;0,E93*H93*I93,E93*I93),IF(H93&gt;0,I93*D93*H93,I93*D93)),""))</f>
        <v/>
      </c>
      <c r="K93" s="4"/>
      <c r="L93" s="212"/>
      <c r="M93" s="213" t="str">
        <f>IF(OR(I93&gt;0,L93&gt;0),IF(E93&gt;0,(I93+L93)*E93,(I93+L93)*D93),"")</f>
        <v/>
      </c>
      <c r="O93" s="172">
        <f>IF(E93&gt;0,ABS(I93*E93),ABS(I93*D93))</f>
        <v>0</v>
      </c>
      <c r="P93" s="172">
        <f>IF(E93&gt;0,ABS(L93*E93),ABS(L93*D93))</f>
        <v>0</v>
      </c>
    </row>
    <row r="94" spans="1:16" ht="13.5" thickBot="1" x14ac:dyDescent="0.25">
      <c r="A94" s="243" t="s">
        <v>92</v>
      </c>
      <c r="B94" s="205" t="s">
        <v>7</v>
      </c>
      <c r="C94" s="206" t="s">
        <v>333</v>
      </c>
      <c r="D94" s="207">
        <v>-3423</v>
      </c>
      <c r="E94" s="208"/>
      <c r="F94" s="242" t="s">
        <v>334</v>
      </c>
      <c r="G94" s="210" t="s">
        <v>169</v>
      </c>
      <c r="H94" s="211"/>
      <c r="I94" s="212"/>
      <c r="J94" s="213" t="str">
        <f>IF(AND(ISNUMBER(L94),OR(L94&lt;&gt;0,L94&lt;&gt;"")),IF(AND(ISNUMBER(I94),OR(I94&lt;&gt;0,I94&lt;&gt;"")),IF(E94&gt;0,E94*I94,I94*D94),""),IF(AND(ISNUMBER(I94),OR(I94&lt;&gt;0,I94&lt;&gt;"")),IF(E94&gt;0,IF(H94&gt;0,E94*H94*I94,E94*I94),IF(H94&gt;0,I94*D94*H94,I94*D94)),""))</f>
        <v/>
      </c>
      <c r="K94" s="4"/>
      <c r="L94" s="212"/>
      <c r="M94" s="213" t="str">
        <f>IF(OR(I94&gt;0,L94&gt;0),IF(E94&gt;0,(I94+L94)*E94,(I94+L94)*D94),"")</f>
        <v/>
      </c>
      <c r="O94" s="172">
        <f>IF(E94&gt;0,ABS(I94*E94),ABS(I94*D94))</f>
        <v>0</v>
      </c>
      <c r="P94" s="172">
        <f>IF(E94&gt;0,ABS(L94*E94),ABS(L94*D94))</f>
        <v>0</v>
      </c>
    </row>
    <row r="95" spans="1:16" ht="13.5" thickBot="1" x14ac:dyDescent="0.25">
      <c r="A95" s="185"/>
      <c r="B95" s="186"/>
      <c r="C95" s="187"/>
      <c r="D95" s="188"/>
      <c r="E95" s="188"/>
      <c r="H95" s="253" t="s">
        <v>68</v>
      </c>
      <c r="I95" s="351">
        <f>SUM(J80:J89,J91:J94)+SUMIF($Q$97:$Q$106,6,$J$97:$J$106)</f>
        <v>0</v>
      </c>
      <c r="J95" s="352"/>
      <c r="K95" s="250"/>
      <c r="L95" s="251"/>
      <c r="M95" s="252">
        <f>SUM(M91:M94,M80:M89)+SUMIF($Q$97:$Q$106,6,$M$97:$M$106)</f>
        <v>0</v>
      </c>
    </row>
    <row r="96" spans="1:16" ht="96.75" thickBot="1" x14ac:dyDescent="0.25">
      <c r="A96" s="306" t="s">
        <v>339</v>
      </c>
      <c r="B96" s="200" t="s">
        <v>0</v>
      </c>
      <c r="C96" s="200" t="s">
        <v>1</v>
      </c>
      <c r="D96" s="236"/>
      <c r="E96" s="200" t="s">
        <v>338</v>
      </c>
      <c r="F96" s="236" t="s">
        <v>337</v>
      </c>
      <c r="G96" s="300" t="s">
        <v>314</v>
      </c>
      <c r="H96" s="300" t="s">
        <v>98</v>
      </c>
      <c r="I96" s="200" t="s">
        <v>156</v>
      </c>
      <c r="J96" s="200" t="s">
        <v>67</v>
      </c>
      <c r="K96" s="249"/>
      <c r="L96" s="200" t="s">
        <v>157</v>
      </c>
      <c r="M96" s="200" t="s">
        <v>158</v>
      </c>
      <c r="N96" s="200" t="s">
        <v>2</v>
      </c>
    </row>
    <row r="97" spans="1:17" ht="13.5" thickBot="1" x14ac:dyDescent="0.25">
      <c r="A97" s="244"/>
      <c r="B97" s="245"/>
      <c r="C97" s="246"/>
      <c r="D97" s="247">
        <f>C97</f>
        <v>0</v>
      </c>
      <c r="E97" s="248"/>
      <c r="F97" s="304"/>
      <c r="G97" s="210">
        <f>IF(L97&gt;0,IF(I97&gt;0,(I97-L97)/I97,0),IF(L97="",0,IF(I97&gt;0,I97/I97,0)))</f>
        <v>0</v>
      </c>
      <c r="H97" s="211"/>
      <c r="I97" s="212"/>
      <c r="J97" s="213" t="str">
        <f>IF(AND(ISNUMBER(L97),OR(L97&lt;&gt;0,L97&lt;&gt;"")),IF(AND(ISNUMBER(I97),OR(I97&lt;&gt;0,I97&lt;&gt;"")),I97*D97*G97,""),IF(AND(ISNUMBER(I97),OR(I97&lt;&gt;0,I97&lt;&gt;"")),IF(H97&gt;0,I97*D97*H97,I97*D97*G97),""))</f>
        <v/>
      </c>
      <c r="K97" s="4"/>
      <c r="L97" s="212"/>
      <c r="M97" s="213" t="str">
        <f>IF(OR(I97&gt;0,L97&gt;0),(I97-L97)*D97,"")</f>
        <v/>
      </c>
      <c r="N97" s="213"/>
      <c r="O97" s="172">
        <f>I97*C97</f>
        <v>0</v>
      </c>
      <c r="P97" s="172">
        <f>IF(C97&gt;0,L97*C97,L97*D97)</f>
        <v>0</v>
      </c>
      <c r="Q97" s="1">
        <f t="shared" ref="Q97:Q106" si="25">IF(ISNA(VLOOKUP($E97,CostType,18,FALSE)),7,VLOOKUP($E97,CostType,18,FALSE))</f>
        <v>7</v>
      </c>
    </row>
    <row r="98" spans="1:17" ht="13.5" thickBot="1" x14ac:dyDescent="0.25">
      <c r="A98" s="244"/>
      <c r="B98" s="245"/>
      <c r="C98" s="246"/>
      <c r="D98" s="247">
        <f t="shared" ref="D98:D106" si="26">C98</f>
        <v>0</v>
      </c>
      <c r="E98" s="248"/>
      <c r="F98" s="304"/>
      <c r="G98" s="210">
        <f t="shared" ref="G98:G106" si="27">IF(L98&gt;0,IF(I98&gt;0,(I98-L98)/I98,0),IF(L98="",0,IF(I98&gt;0,I98/I98,0)))</f>
        <v>0</v>
      </c>
      <c r="H98" s="211"/>
      <c r="I98" s="212"/>
      <c r="J98" s="213" t="str">
        <f t="shared" ref="J98:J106" si="28">IF(AND(ISNUMBER(L98),OR(L98&lt;&gt;0,L98&lt;&gt;"")),IF(AND(ISNUMBER(I98),OR(I98&lt;&gt;0,I98&lt;&gt;"")),I98*D98*G98,""),IF(AND(ISNUMBER(I98),OR(I98&lt;&gt;0,I98&lt;&gt;"")),IF(H98&gt;0,I98*D98*H98,I98*D98*G98),""))</f>
        <v/>
      </c>
      <c r="K98" s="4"/>
      <c r="L98" s="212"/>
      <c r="M98" s="213" t="str">
        <f t="shared" ref="M98:M106" si="29">IF(OR(I98&gt;0,L98&gt;0),(I98-L98)*D98,"")</f>
        <v/>
      </c>
      <c r="N98" s="213"/>
      <c r="O98" s="172">
        <f t="shared" ref="O98:O106" si="30">I98*C98</f>
        <v>0</v>
      </c>
      <c r="P98" s="172">
        <f t="shared" ref="P98:P106" si="31">IF(C98&gt;0,L98*C98,L98*D98)</f>
        <v>0</v>
      </c>
      <c r="Q98" s="1">
        <f t="shared" si="25"/>
        <v>7</v>
      </c>
    </row>
    <row r="99" spans="1:17" ht="13.5" thickBot="1" x14ac:dyDescent="0.25">
      <c r="A99" s="244"/>
      <c r="B99" s="245"/>
      <c r="C99" s="246"/>
      <c r="D99" s="247">
        <f t="shared" si="26"/>
        <v>0</v>
      </c>
      <c r="E99" s="248"/>
      <c r="F99" s="304"/>
      <c r="G99" s="210">
        <f t="shared" si="27"/>
        <v>0</v>
      </c>
      <c r="H99" s="211"/>
      <c r="I99" s="212"/>
      <c r="J99" s="213" t="str">
        <f t="shared" si="28"/>
        <v/>
      </c>
      <c r="K99" s="4"/>
      <c r="L99" s="212"/>
      <c r="M99" s="213" t="str">
        <f t="shared" si="29"/>
        <v/>
      </c>
      <c r="N99" s="213"/>
      <c r="O99" s="172">
        <f t="shared" si="30"/>
        <v>0</v>
      </c>
      <c r="P99" s="172">
        <f t="shared" si="31"/>
        <v>0</v>
      </c>
      <c r="Q99" s="1">
        <f t="shared" si="25"/>
        <v>7</v>
      </c>
    </row>
    <row r="100" spans="1:17" ht="13.5" thickBot="1" x14ac:dyDescent="0.25">
      <c r="A100" s="244"/>
      <c r="B100" s="245"/>
      <c r="C100" s="246"/>
      <c r="D100" s="247">
        <f t="shared" si="26"/>
        <v>0</v>
      </c>
      <c r="E100" s="248"/>
      <c r="F100" s="304"/>
      <c r="G100" s="210">
        <f t="shared" si="27"/>
        <v>0</v>
      </c>
      <c r="H100" s="211"/>
      <c r="I100" s="212"/>
      <c r="J100" s="213" t="str">
        <f t="shared" si="28"/>
        <v/>
      </c>
      <c r="K100" s="4"/>
      <c r="L100" s="212"/>
      <c r="M100" s="213" t="str">
        <f t="shared" si="29"/>
        <v/>
      </c>
      <c r="N100" s="213"/>
      <c r="O100" s="172">
        <f t="shared" si="30"/>
        <v>0</v>
      </c>
      <c r="P100" s="172">
        <f t="shared" si="31"/>
        <v>0</v>
      </c>
      <c r="Q100" s="1">
        <f t="shared" si="25"/>
        <v>7</v>
      </c>
    </row>
    <row r="101" spans="1:17" ht="13.5" thickBot="1" x14ac:dyDescent="0.25">
      <c r="A101" s="244"/>
      <c r="B101" s="245"/>
      <c r="C101" s="246"/>
      <c r="D101" s="247">
        <f t="shared" si="26"/>
        <v>0</v>
      </c>
      <c r="E101" s="248"/>
      <c r="F101" s="304"/>
      <c r="G101" s="210">
        <f t="shared" si="27"/>
        <v>0</v>
      </c>
      <c r="H101" s="211"/>
      <c r="I101" s="212"/>
      <c r="J101" s="213" t="str">
        <f t="shared" si="28"/>
        <v/>
      </c>
      <c r="K101" s="4"/>
      <c r="L101" s="212"/>
      <c r="M101" s="213" t="str">
        <f t="shared" si="29"/>
        <v/>
      </c>
      <c r="N101" s="213"/>
      <c r="O101" s="172">
        <f t="shared" si="30"/>
        <v>0</v>
      </c>
      <c r="P101" s="172">
        <f t="shared" si="31"/>
        <v>0</v>
      </c>
      <c r="Q101" s="1">
        <f t="shared" si="25"/>
        <v>7</v>
      </c>
    </row>
    <row r="102" spans="1:17" ht="13.5" thickBot="1" x14ac:dyDescent="0.25">
      <c r="A102" s="244"/>
      <c r="B102" s="245"/>
      <c r="C102" s="246"/>
      <c r="D102" s="247">
        <f t="shared" si="26"/>
        <v>0</v>
      </c>
      <c r="E102" s="248"/>
      <c r="F102" s="304"/>
      <c r="G102" s="210">
        <f t="shared" si="27"/>
        <v>0</v>
      </c>
      <c r="H102" s="211"/>
      <c r="I102" s="212"/>
      <c r="J102" s="213" t="str">
        <f t="shared" si="28"/>
        <v/>
      </c>
      <c r="K102" s="4"/>
      <c r="L102" s="212"/>
      <c r="M102" s="213" t="str">
        <f t="shared" si="29"/>
        <v/>
      </c>
      <c r="N102" s="213"/>
      <c r="O102" s="172">
        <f t="shared" si="30"/>
        <v>0</v>
      </c>
      <c r="P102" s="172">
        <f t="shared" si="31"/>
        <v>0</v>
      </c>
      <c r="Q102" s="1">
        <f t="shared" si="25"/>
        <v>7</v>
      </c>
    </row>
    <row r="103" spans="1:17" ht="13.5" thickBot="1" x14ac:dyDescent="0.25">
      <c r="A103" s="244"/>
      <c r="B103" s="245"/>
      <c r="C103" s="246"/>
      <c r="D103" s="247">
        <f t="shared" si="26"/>
        <v>0</v>
      </c>
      <c r="E103" s="248"/>
      <c r="F103" s="304"/>
      <c r="G103" s="210">
        <f t="shared" si="27"/>
        <v>0</v>
      </c>
      <c r="H103" s="211"/>
      <c r="I103" s="212"/>
      <c r="J103" s="213" t="str">
        <f t="shared" si="28"/>
        <v/>
      </c>
      <c r="K103" s="4"/>
      <c r="L103" s="212"/>
      <c r="M103" s="213" t="str">
        <f t="shared" si="29"/>
        <v/>
      </c>
      <c r="N103" s="213"/>
      <c r="O103" s="172">
        <f t="shared" si="30"/>
        <v>0</v>
      </c>
      <c r="P103" s="172">
        <f t="shared" si="31"/>
        <v>0</v>
      </c>
      <c r="Q103" s="1">
        <f t="shared" si="25"/>
        <v>7</v>
      </c>
    </row>
    <row r="104" spans="1:17" ht="13.5" thickBot="1" x14ac:dyDescent="0.25">
      <c r="A104" s="244"/>
      <c r="B104" s="245"/>
      <c r="C104" s="246"/>
      <c r="D104" s="247">
        <f t="shared" si="26"/>
        <v>0</v>
      </c>
      <c r="E104" s="248"/>
      <c r="F104" s="304"/>
      <c r="G104" s="210">
        <f t="shared" si="27"/>
        <v>0</v>
      </c>
      <c r="H104" s="211"/>
      <c r="I104" s="212"/>
      <c r="J104" s="213" t="str">
        <f t="shared" si="28"/>
        <v/>
      </c>
      <c r="K104" s="4"/>
      <c r="L104" s="212"/>
      <c r="M104" s="213" t="str">
        <f t="shared" si="29"/>
        <v/>
      </c>
      <c r="N104" s="213"/>
      <c r="O104" s="172">
        <f t="shared" si="30"/>
        <v>0</v>
      </c>
      <c r="P104" s="172">
        <f t="shared" si="31"/>
        <v>0</v>
      </c>
      <c r="Q104" s="1">
        <f t="shared" si="25"/>
        <v>7</v>
      </c>
    </row>
    <row r="105" spans="1:17" ht="13.5" thickBot="1" x14ac:dyDescent="0.25">
      <c r="A105" s="244"/>
      <c r="B105" s="245"/>
      <c r="C105" s="246"/>
      <c r="D105" s="247">
        <f t="shared" si="26"/>
        <v>0</v>
      </c>
      <c r="E105" s="248"/>
      <c r="F105" s="304"/>
      <c r="G105" s="210">
        <f t="shared" si="27"/>
        <v>0</v>
      </c>
      <c r="H105" s="211"/>
      <c r="I105" s="212"/>
      <c r="J105" s="213" t="str">
        <f t="shared" si="28"/>
        <v/>
      </c>
      <c r="K105" s="4"/>
      <c r="L105" s="212"/>
      <c r="M105" s="213" t="str">
        <f t="shared" si="29"/>
        <v/>
      </c>
      <c r="N105" s="213"/>
      <c r="O105" s="172">
        <f t="shared" si="30"/>
        <v>0</v>
      </c>
      <c r="P105" s="172">
        <f t="shared" si="31"/>
        <v>0</v>
      </c>
      <c r="Q105" s="1">
        <f t="shared" si="25"/>
        <v>7</v>
      </c>
    </row>
    <row r="106" spans="1:17" ht="13.5" thickBot="1" x14ac:dyDescent="0.25">
      <c r="A106" s="244"/>
      <c r="B106" s="245"/>
      <c r="C106" s="246"/>
      <c r="D106" s="247">
        <f t="shared" si="26"/>
        <v>0</v>
      </c>
      <c r="E106" s="248"/>
      <c r="F106" s="304"/>
      <c r="G106" s="210">
        <f t="shared" si="27"/>
        <v>0</v>
      </c>
      <c r="H106" s="211"/>
      <c r="I106" s="212"/>
      <c r="J106" s="213" t="str">
        <f t="shared" si="28"/>
        <v/>
      </c>
      <c r="K106" s="4"/>
      <c r="L106" s="212"/>
      <c r="M106" s="213" t="str">
        <f t="shared" si="29"/>
        <v/>
      </c>
      <c r="N106" s="213"/>
      <c r="O106" s="172">
        <f t="shared" si="30"/>
        <v>0</v>
      </c>
      <c r="P106" s="172">
        <f t="shared" si="31"/>
        <v>0</v>
      </c>
      <c r="Q106" s="1">
        <f t="shared" si="25"/>
        <v>7</v>
      </c>
    </row>
    <row r="107" spans="1:17" ht="13.5" thickBot="1" x14ac:dyDescent="0.25">
      <c r="H107" s="253" t="s">
        <v>68</v>
      </c>
      <c r="I107" s="351">
        <f>SUMIF($Q$97:$Q$106,7,$J$97:$J$106)</f>
        <v>0</v>
      </c>
      <c r="J107" s="352"/>
      <c r="K107" s="250"/>
      <c r="L107" s="251"/>
      <c r="M107" s="252">
        <f>SUMIF($Q$97:$Q$106,7,$M$97:$M$106)</f>
        <v>0</v>
      </c>
      <c r="O107" s="172">
        <f>SUM(O7:O106)</f>
        <v>0</v>
      </c>
      <c r="P107" s="172">
        <f>SUM(P7:P106)</f>
        <v>0</v>
      </c>
    </row>
  </sheetData>
  <sheetProtection password="D78B" sheet="1" scenarios="1"/>
  <mergeCells count="10">
    <mergeCell ref="I107:J107"/>
    <mergeCell ref="I71:J71"/>
    <mergeCell ref="I78:J78"/>
    <mergeCell ref="I95:J95"/>
    <mergeCell ref="I51:J51"/>
    <mergeCell ref="G1:H1"/>
    <mergeCell ref="I1:J1"/>
    <mergeCell ref="G3:H3"/>
    <mergeCell ref="I26:J26"/>
    <mergeCell ref="I36:J36"/>
  </mergeCells>
  <phoneticPr fontId="4" type="noConversion"/>
  <conditionalFormatting sqref="I107:J107 N97:N106 M97:M107 M80:M89 M91:M95 M28:M36 M7:M26 I95:J95 M73:M78 M38:M51 M53:M71">
    <cfRule type="cellIs" dxfId="10" priority="1" stopIfTrue="1" operator="lessThan">
      <formula>0</formula>
    </cfRule>
  </conditionalFormatting>
  <conditionalFormatting sqref="I1:J1">
    <cfRule type="cellIs" dxfId="9" priority="2" stopIfTrue="1" operator="lessThan">
      <formula>0</formula>
    </cfRule>
  </conditionalFormatting>
  <dataValidations count="13">
    <dataValidation type="decimal" allowBlank="1" showInputMessage="1" showErrorMessage="1" errorTitle="Percentage error" error="Please enter a value between 0 and 100%" sqref="H97:H106 H91:H94 H80:H89 H73:H77 H38:H50 H53:H70 H28:H35 H7:H25">
      <formula1>0</formula1>
      <formula2>1</formula2>
    </dataValidation>
    <dataValidation type="list" allowBlank="1" showInputMessage="1" showErrorMessage="1" sqref="B97:B106">
      <formula1>organisation</formula1>
    </dataValidation>
    <dataValidation type="decimal" operator="greaterThanOrEqual" allowBlank="1" showInputMessage="1" showErrorMessage="1" sqref="C97:C106">
      <formula1>0</formula1>
    </dataValidation>
    <dataValidation type="whole" operator="greaterThan" allowBlank="1" showInputMessage="1" showErrorMessage="1" sqref="I97:I106 L33:L35 I33 I35">
      <formula1>0</formula1>
    </dataValidation>
    <dataValidation type="list" allowBlank="1" showInputMessage="1" showErrorMessage="1" sqref="E97:E106">
      <formula1>category</formula1>
    </dataValidation>
    <dataValidation type="decimal" allowBlank="1" showInputMessage="1" showErrorMessage="1" errorTitle="Unit cost error" error="Please enter only numbers between 0 and 100." sqref="I27 I72:I73 I77 I75 I79 I52:I55 I57:I70 I37:I50">
      <formula1>0</formula1>
      <formula2>100</formula2>
    </dataValidation>
    <dataValidation type="decimal" allowBlank="1" showInputMessage="1" showErrorMessage="1" sqref="E80:E94 E38:E50 E53:E70 E28:E35 E7:E25 E73:E77">
      <formula1>1</formula1>
      <formula2>10000000</formula2>
    </dataValidation>
    <dataValidation type="decimal" allowBlank="1" showInputMessage="1" showErrorMessage="1" errorTitle="Unit cost error" error="Please enter only numbers between 0 and 100." sqref="I91:I94 I80:I89 I76 I74 I56">
      <formula1>0</formula1>
      <formula2>1000</formula2>
    </dataValidation>
    <dataValidation type="whole" operator="greaterThanOrEqual" allowBlank="1" showInputMessage="1" showErrorMessage="1" sqref="L73:L77 L80:L89 L91:L94 L38:L50 L53:L70 L28:L32 L7:L25 L97:L106">
      <formula1>0</formula1>
    </dataValidation>
    <dataValidation type="decimal" operator="greaterThan" allowBlank="1" showInputMessage="1" showErrorMessage="1" sqref="I34">
      <formula1>0</formula1>
    </dataValidation>
    <dataValidation type="decimal" allowBlank="1" showInputMessage="1" showErrorMessage="1" error="Please enter a value between 1 and 0" sqref="I29:I31">
      <formula1>0</formula1>
      <formula2>1</formula2>
    </dataValidation>
    <dataValidation type="whole" allowBlank="1" showInputMessage="1" showErrorMessage="1" sqref="I7:I25">
      <formula1>0</formula1>
      <formula2>10000</formula2>
    </dataValidation>
    <dataValidation type="whole" operator="greaterThan" allowBlank="1" showInputMessage="1" showErrorMessage="1" error="Please enter a value between 1 and 0" sqref="I28 I32">
      <formula1>0</formula1>
    </dataValidation>
  </dataValidations>
  <printOptions headings="1"/>
  <pageMargins left="0.74803149606299213" right="0.74803149606299213" top="0.98425196850393704" bottom="0.98425196850393704" header="0.51181102362204722" footer="0.51181102362204722"/>
  <pageSetup paperSize="9" scale="59" orientation="landscape" r:id="rId1"/>
  <headerFooter alignWithMargins="0"/>
  <rowBreaks count="1" manualBreakCount="1">
    <brk id="51" max="16383" man="1"/>
  </rowBreaks>
  <drawing r:id="rId2"/>
  <legacyDrawing r:id="rId3"/>
  <controls>
    <mc:AlternateContent xmlns:mc="http://schemas.openxmlformats.org/markup-compatibility/2006">
      <mc:Choice Requires="x14">
        <control shapeId="1060" r:id="rId4" name="btnHome">
          <controlPr autoLine="0" r:id="rId5">
            <anchor moveWithCells="1">
              <from>
                <xdr:col>0</xdr:col>
                <xdr:colOff>2581275</xdr:colOff>
                <xdr:row>1</xdr:row>
                <xdr:rowOff>57150</xdr:rowOff>
              </from>
              <to>
                <xdr:col>0</xdr:col>
                <xdr:colOff>3114675</xdr:colOff>
                <xdr:row>2</xdr:row>
                <xdr:rowOff>190500</xdr:rowOff>
              </to>
            </anchor>
          </controlPr>
        </control>
      </mc:Choice>
      <mc:Fallback>
        <control shapeId="1060" r:id="rId4" name="btnHome"/>
      </mc:Fallback>
    </mc:AlternateContent>
    <mc:AlternateContent xmlns:mc="http://schemas.openxmlformats.org/markup-compatibility/2006">
      <mc:Choice Requires="x14">
        <control shapeId="1027" r:id="rId6" name="btnClear">
          <controlPr autoLine="0" r:id="rId7">
            <anchor moveWithCells="1">
              <from>
                <xdr:col>0</xdr:col>
                <xdr:colOff>104775</xdr:colOff>
                <xdr:row>4</xdr:row>
                <xdr:rowOff>142875</xdr:rowOff>
              </from>
              <to>
                <xdr:col>0</xdr:col>
                <xdr:colOff>742950</xdr:colOff>
                <xdr:row>4</xdr:row>
                <xdr:rowOff>390525</xdr:rowOff>
              </to>
            </anchor>
          </controlPr>
        </control>
      </mc:Choice>
      <mc:Fallback>
        <control shapeId="1027" r:id="rId6" name="btnClear"/>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32"/>
  </sheetPr>
  <dimension ref="A8:K35"/>
  <sheetViews>
    <sheetView showGridLines="0" showRowColHeaders="0" topLeftCell="A11" workbookViewId="0">
      <selection activeCell="I15" sqref="I15"/>
    </sheetView>
  </sheetViews>
  <sheetFormatPr defaultRowHeight="12.75" x14ac:dyDescent="0.2"/>
  <cols>
    <col min="1" max="16384" width="9.140625" style="1"/>
  </cols>
  <sheetData>
    <row r="8" spans="1:11" ht="13.5" thickBot="1" x14ac:dyDescent="0.25"/>
    <row r="9" spans="1:11" ht="24" thickBot="1" x14ac:dyDescent="0.4">
      <c r="A9" s="166" t="s">
        <v>246</v>
      </c>
      <c r="B9" s="167"/>
      <c r="C9" s="167"/>
      <c r="D9" s="167"/>
      <c r="E9" s="168"/>
    </row>
    <row r="10" spans="1:11" ht="13.5" thickBot="1" x14ac:dyDescent="0.25"/>
    <row r="11" spans="1:11" x14ac:dyDescent="0.2">
      <c r="A11" s="156" t="s">
        <v>247</v>
      </c>
      <c r="B11" s="157"/>
      <c r="C11" s="157"/>
      <c r="D11" s="157"/>
      <c r="E11" s="157"/>
      <c r="F11" s="157"/>
      <c r="G11" s="157"/>
      <c r="H11" s="158"/>
      <c r="I11" s="356" t="s">
        <v>248</v>
      </c>
      <c r="J11" s="359" t="s">
        <v>249</v>
      </c>
      <c r="K11" s="356" t="s">
        <v>250</v>
      </c>
    </row>
    <row r="12" spans="1:11" x14ac:dyDescent="0.2">
      <c r="A12" s="159"/>
      <c r="B12" s="160"/>
      <c r="C12" s="160"/>
      <c r="D12" s="160"/>
      <c r="E12" s="160"/>
      <c r="F12" s="160"/>
      <c r="G12" s="160"/>
      <c r="H12" s="161"/>
      <c r="I12" s="357"/>
      <c r="J12" s="360"/>
      <c r="K12" s="357"/>
    </row>
    <row r="13" spans="1:11" ht="13.5" thickBot="1" x14ac:dyDescent="0.25">
      <c r="A13" s="162"/>
      <c r="B13" s="163"/>
      <c r="C13" s="163"/>
      <c r="D13" s="163"/>
      <c r="E13" s="163"/>
      <c r="F13" s="163"/>
      <c r="G13" s="163"/>
      <c r="H13" s="164"/>
      <c r="I13" s="358"/>
      <c r="J13" s="361"/>
      <c r="K13" s="358"/>
    </row>
    <row r="14" spans="1:11" ht="13.5" thickBot="1" x14ac:dyDescent="0.25">
      <c r="A14" s="362" t="s">
        <v>251</v>
      </c>
      <c r="B14" s="354"/>
      <c r="C14" s="354"/>
      <c r="D14" s="354"/>
      <c r="E14" s="354"/>
      <c r="F14" s="354"/>
      <c r="G14" s="354"/>
      <c r="H14" s="355"/>
      <c r="I14" s="321"/>
      <c r="J14" s="321"/>
      <c r="K14" s="165">
        <f t="shared" ref="K14:K33" si="0">I14-J14</f>
        <v>0</v>
      </c>
    </row>
    <row r="15" spans="1:11" ht="13.5" thickBot="1" x14ac:dyDescent="0.25">
      <c r="A15" s="353" t="s">
        <v>252</v>
      </c>
      <c r="B15" s="354"/>
      <c r="C15" s="354"/>
      <c r="D15" s="354"/>
      <c r="E15" s="354"/>
      <c r="F15" s="354"/>
      <c r="G15" s="354"/>
      <c r="H15" s="355"/>
      <c r="I15" s="321"/>
      <c r="J15" s="321"/>
      <c r="K15" s="165">
        <f t="shared" si="0"/>
        <v>0</v>
      </c>
    </row>
    <row r="16" spans="1:11" ht="13.5" thickBot="1" x14ac:dyDescent="0.25">
      <c r="A16" s="353" t="s">
        <v>253</v>
      </c>
      <c r="B16" s="354"/>
      <c r="C16" s="354"/>
      <c r="D16" s="354"/>
      <c r="E16" s="354"/>
      <c r="F16" s="354"/>
      <c r="G16" s="354"/>
      <c r="H16" s="355"/>
      <c r="I16" s="321"/>
      <c r="J16" s="321"/>
      <c r="K16" s="165">
        <f t="shared" si="0"/>
        <v>0</v>
      </c>
    </row>
    <row r="17" spans="1:11" ht="13.5" thickBot="1" x14ac:dyDescent="0.25">
      <c r="A17" s="353" t="s">
        <v>254</v>
      </c>
      <c r="B17" s="354"/>
      <c r="C17" s="354"/>
      <c r="D17" s="354"/>
      <c r="E17" s="354"/>
      <c r="F17" s="354"/>
      <c r="G17" s="354"/>
      <c r="H17" s="355"/>
      <c r="I17" s="321"/>
      <c r="J17" s="321"/>
      <c r="K17" s="165">
        <f t="shared" si="0"/>
        <v>0</v>
      </c>
    </row>
    <row r="18" spans="1:11" ht="13.5" thickBot="1" x14ac:dyDescent="0.25">
      <c r="A18" s="353" t="s">
        <v>255</v>
      </c>
      <c r="B18" s="354"/>
      <c r="C18" s="354"/>
      <c r="D18" s="354"/>
      <c r="E18" s="354"/>
      <c r="F18" s="354"/>
      <c r="G18" s="354"/>
      <c r="H18" s="355"/>
      <c r="I18" s="321"/>
      <c r="J18" s="321"/>
      <c r="K18" s="165">
        <f t="shared" si="0"/>
        <v>0</v>
      </c>
    </row>
    <row r="19" spans="1:11" ht="13.5" thickBot="1" x14ac:dyDescent="0.25">
      <c r="A19" s="353" t="s">
        <v>256</v>
      </c>
      <c r="B19" s="354"/>
      <c r="C19" s="354"/>
      <c r="D19" s="354"/>
      <c r="E19" s="354"/>
      <c r="F19" s="354"/>
      <c r="G19" s="354"/>
      <c r="H19" s="355"/>
      <c r="I19" s="321"/>
      <c r="J19" s="321"/>
      <c r="K19" s="165">
        <f t="shared" si="0"/>
        <v>0</v>
      </c>
    </row>
    <row r="20" spans="1:11" ht="13.5" thickBot="1" x14ac:dyDescent="0.25">
      <c r="A20" s="353" t="s">
        <v>257</v>
      </c>
      <c r="B20" s="354"/>
      <c r="C20" s="354"/>
      <c r="D20" s="354"/>
      <c r="E20" s="354"/>
      <c r="F20" s="354"/>
      <c r="G20" s="354"/>
      <c r="H20" s="355"/>
      <c r="I20" s="321"/>
      <c r="J20" s="321"/>
      <c r="K20" s="165">
        <f t="shared" si="0"/>
        <v>0</v>
      </c>
    </row>
    <row r="21" spans="1:11" ht="13.5" thickBot="1" x14ac:dyDescent="0.25">
      <c r="A21" s="353" t="s">
        <v>258</v>
      </c>
      <c r="B21" s="354"/>
      <c r="C21" s="354"/>
      <c r="D21" s="354"/>
      <c r="E21" s="354"/>
      <c r="F21" s="354"/>
      <c r="G21" s="354"/>
      <c r="H21" s="355"/>
      <c r="I21" s="321"/>
      <c r="J21" s="321"/>
      <c r="K21" s="165">
        <f t="shared" si="0"/>
        <v>0</v>
      </c>
    </row>
    <row r="22" spans="1:11" ht="13.5" thickBot="1" x14ac:dyDescent="0.25">
      <c r="A22" s="353" t="s">
        <v>259</v>
      </c>
      <c r="B22" s="354"/>
      <c r="C22" s="354"/>
      <c r="D22" s="354"/>
      <c r="E22" s="354"/>
      <c r="F22" s="354"/>
      <c r="G22" s="354"/>
      <c r="H22" s="355"/>
      <c r="I22" s="321"/>
      <c r="J22" s="321"/>
      <c r="K22" s="165">
        <f t="shared" si="0"/>
        <v>0</v>
      </c>
    </row>
    <row r="23" spans="1:11" ht="13.5" thickBot="1" x14ac:dyDescent="0.25">
      <c r="A23" s="353" t="s">
        <v>260</v>
      </c>
      <c r="B23" s="354"/>
      <c r="C23" s="354"/>
      <c r="D23" s="354"/>
      <c r="E23" s="354"/>
      <c r="F23" s="354"/>
      <c r="G23" s="354"/>
      <c r="H23" s="355"/>
      <c r="I23" s="321"/>
      <c r="J23" s="321"/>
      <c r="K23" s="165">
        <f t="shared" si="0"/>
        <v>0</v>
      </c>
    </row>
    <row r="24" spans="1:11" ht="13.5" thickBot="1" x14ac:dyDescent="0.25">
      <c r="A24" s="353" t="s">
        <v>261</v>
      </c>
      <c r="B24" s="354"/>
      <c r="C24" s="354"/>
      <c r="D24" s="354"/>
      <c r="E24" s="354"/>
      <c r="F24" s="354"/>
      <c r="G24" s="354"/>
      <c r="H24" s="355"/>
      <c r="I24" s="321"/>
      <c r="J24" s="321"/>
      <c r="K24" s="165">
        <f t="shared" si="0"/>
        <v>0</v>
      </c>
    </row>
    <row r="25" spans="1:11" ht="13.5" thickBot="1" x14ac:dyDescent="0.25">
      <c r="A25" s="353" t="s">
        <v>262</v>
      </c>
      <c r="B25" s="354"/>
      <c r="C25" s="354"/>
      <c r="D25" s="354"/>
      <c r="E25" s="354"/>
      <c r="F25" s="354"/>
      <c r="G25" s="354"/>
      <c r="H25" s="355"/>
      <c r="I25" s="321"/>
      <c r="J25" s="321"/>
      <c r="K25" s="165">
        <f t="shared" si="0"/>
        <v>0</v>
      </c>
    </row>
    <row r="26" spans="1:11" ht="13.5" thickBot="1" x14ac:dyDescent="0.25">
      <c r="A26" s="353" t="s">
        <v>263</v>
      </c>
      <c r="B26" s="354"/>
      <c r="C26" s="354"/>
      <c r="D26" s="354"/>
      <c r="E26" s="354"/>
      <c r="F26" s="354"/>
      <c r="G26" s="354"/>
      <c r="H26" s="355"/>
      <c r="I26" s="321"/>
      <c r="J26" s="321"/>
      <c r="K26" s="165">
        <f t="shared" si="0"/>
        <v>0</v>
      </c>
    </row>
    <row r="27" spans="1:11" ht="13.5" thickBot="1" x14ac:dyDescent="0.25">
      <c r="A27" s="353" t="s">
        <v>264</v>
      </c>
      <c r="B27" s="354"/>
      <c r="C27" s="354"/>
      <c r="D27" s="354"/>
      <c r="E27" s="354"/>
      <c r="F27" s="354"/>
      <c r="G27" s="354"/>
      <c r="H27" s="355"/>
      <c r="I27" s="321"/>
      <c r="J27" s="321"/>
      <c r="K27" s="165">
        <f t="shared" si="0"/>
        <v>0</v>
      </c>
    </row>
    <row r="28" spans="1:11" ht="13.5" thickBot="1" x14ac:dyDescent="0.25">
      <c r="A28" s="353" t="s">
        <v>265</v>
      </c>
      <c r="B28" s="354"/>
      <c r="C28" s="354"/>
      <c r="D28" s="354"/>
      <c r="E28" s="354"/>
      <c r="F28" s="354"/>
      <c r="G28" s="354"/>
      <c r="H28" s="355"/>
      <c r="I28" s="321"/>
      <c r="J28" s="321"/>
      <c r="K28" s="165">
        <f t="shared" si="0"/>
        <v>0</v>
      </c>
    </row>
    <row r="29" spans="1:11" ht="13.5" thickBot="1" x14ac:dyDescent="0.25">
      <c r="A29" s="353" t="s">
        <v>266</v>
      </c>
      <c r="B29" s="354"/>
      <c r="C29" s="354"/>
      <c r="D29" s="354"/>
      <c r="E29" s="354"/>
      <c r="F29" s="354"/>
      <c r="G29" s="354"/>
      <c r="H29" s="355"/>
      <c r="I29" s="321"/>
      <c r="J29" s="321"/>
      <c r="K29" s="165">
        <f t="shared" si="0"/>
        <v>0</v>
      </c>
    </row>
    <row r="30" spans="1:11" ht="13.5" thickBot="1" x14ac:dyDescent="0.25">
      <c r="A30" s="353" t="s">
        <v>267</v>
      </c>
      <c r="B30" s="354"/>
      <c r="C30" s="354"/>
      <c r="D30" s="354"/>
      <c r="E30" s="354"/>
      <c r="F30" s="354"/>
      <c r="G30" s="354"/>
      <c r="H30" s="355"/>
      <c r="I30" s="321"/>
      <c r="J30" s="321"/>
      <c r="K30" s="165">
        <f t="shared" si="0"/>
        <v>0</v>
      </c>
    </row>
    <row r="31" spans="1:11" ht="13.5" thickBot="1" x14ac:dyDescent="0.25">
      <c r="A31" s="353" t="s">
        <v>268</v>
      </c>
      <c r="B31" s="354"/>
      <c r="C31" s="354"/>
      <c r="D31" s="354"/>
      <c r="E31" s="354"/>
      <c r="F31" s="354"/>
      <c r="G31" s="354"/>
      <c r="H31" s="355"/>
      <c r="I31" s="321"/>
      <c r="J31" s="321"/>
      <c r="K31" s="165">
        <f t="shared" si="0"/>
        <v>0</v>
      </c>
    </row>
    <row r="32" spans="1:11" ht="13.5" thickBot="1" x14ac:dyDescent="0.25">
      <c r="A32" s="353" t="s">
        <v>269</v>
      </c>
      <c r="B32" s="354"/>
      <c r="C32" s="354"/>
      <c r="D32" s="354"/>
      <c r="E32" s="354"/>
      <c r="F32" s="354"/>
      <c r="G32" s="354"/>
      <c r="H32" s="355"/>
      <c r="I32" s="321"/>
      <c r="J32" s="321"/>
      <c r="K32" s="165">
        <f t="shared" si="0"/>
        <v>0</v>
      </c>
    </row>
    <row r="33" spans="1:11" ht="13.5" thickBot="1" x14ac:dyDescent="0.25">
      <c r="A33" s="353" t="s">
        <v>270</v>
      </c>
      <c r="B33" s="354"/>
      <c r="C33" s="354"/>
      <c r="D33" s="354"/>
      <c r="E33" s="354"/>
      <c r="F33" s="354"/>
      <c r="G33" s="354"/>
      <c r="H33" s="355"/>
      <c r="I33" s="321"/>
      <c r="J33" s="321"/>
      <c r="K33" s="165">
        <f t="shared" si="0"/>
        <v>0</v>
      </c>
    </row>
    <row r="35" spans="1:11" ht="20.25" x14ac:dyDescent="0.3">
      <c r="A35" s="302" t="s">
        <v>211</v>
      </c>
      <c r="B35" s="303"/>
      <c r="C35" s="303"/>
      <c r="D35" s="303"/>
      <c r="E35" s="303"/>
      <c r="F35" s="303"/>
      <c r="G35" s="303"/>
    </row>
  </sheetData>
  <sheetProtection password="D78B" sheet="1" objects="1" scenarios="1"/>
  <mergeCells count="23">
    <mergeCell ref="I11:I13"/>
    <mergeCell ref="J11:J13"/>
    <mergeCell ref="K11:K13"/>
    <mergeCell ref="A14:H14"/>
    <mergeCell ref="A15:H15"/>
    <mergeCell ref="A16:H16"/>
    <mergeCell ref="A32:H32"/>
    <mergeCell ref="A17:H17"/>
    <mergeCell ref="A18:H18"/>
    <mergeCell ref="A19:H19"/>
    <mergeCell ref="A20:H20"/>
    <mergeCell ref="A21:H21"/>
    <mergeCell ref="A22:H22"/>
    <mergeCell ref="A23:H23"/>
    <mergeCell ref="A24:H24"/>
    <mergeCell ref="A25:H25"/>
    <mergeCell ref="A26:H26"/>
    <mergeCell ref="A33:H33"/>
    <mergeCell ref="A27:H27"/>
    <mergeCell ref="A28:H28"/>
    <mergeCell ref="A29:H29"/>
    <mergeCell ref="A30:H30"/>
    <mergeCell ref="A31:H31"/>
  </mergeCells>
  <phoneticPr fontId="4" type="noConversion"/>
  <dataValidations count="1">
    <dataValidation type="whole" operator="greaterThanOrEqual" allowBlank="1" showInputMessage="1" showErrorMessage="1" sqref="I14:J33">
      <formula1>0</formula1>
    </dataValidation>
  </dataValidations>
  <pageMargins left="0.75" right="0.75" top="1" bottom="1" header="0.5" footer="0.5"/>
  <pageSetup paperSize="9" orientation="portrait" horizontalDpi="300" verticalDpi="0" r:id="rId1"/>
  <headerFooter alignWithMargins="0"/>
  <drawing r:id="rId2"/>
  <legacyDrawing r:id="rId3"/>
  <controls>
    <mc:AlternateContent xmlns:mc="http://schemas.openxmlformats.org/markup-compatibility/2006">
      <mc:Choice Requires="x14">
        <control shapeId="198659" r:id="rId4" name="CommandButton1">
          <controlPr autoLine="0" r:id="rId5">
            <anchor moveWithCells="1">
              <from>
                <xdr:col>5</xdr:col>
                <xdr:colOff>161925</xdr:colOff>
                <xdr:row>8</xdr:row>
                <xdr:rowOff>28575</xdr:rowOff>
              </from>
              <to>
                <xdr:col>6</xdr:col>
                <xdr:colOff>57150</xdr:colOff>
                <xdr:row>8</xdr:row>
                <xdr:rowOff>285750</xdr:rowOff>
              </to>
            </anchor>
          </controlPr>
        </control>
      </mc:Choice>
      <mc:Fallback>
        <control shapeId="198659" r:id="rId4" name="CommandButton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26"/>
  </sheetPr>
  <dimension ref="A1:K190"/>
  <sheetViews>
    <sheetView topLeftCell="C1" zoomScale="85" workbookViewId="0">
      <selection activeCell="L26" sqref="L26"/>
    </sheetView>
  </sheetViews>
  <sheetFormatPr defaultRowHeight="12.75" x14ac:dyDescent="0.2"/>
  <cols>
    <col min="1" max="1" width="40.140625" customWidth="1"/>
    <col min="2" max="2" width="37" customWidth="1"/>
    <col min="3" max="3" width="8.5703125" style="13" bestFit="1" customWidth="1"/>
    <col min="4" max="4" width="16" style="12" bestFit="1" customWidth="1"/>
    <col min="5" max="5" width="8.5703125" style="12" bestFit="1" customWidth="1"/>
    <col min="6" max="6" width="14" style="14" customWidth="1"/>
    <col min="7" max="7" width="15.85546875" style="15" customWidth="1"/>
    <col min="10" max="10" width="20.28515625" customWidth="1"/>
    <col min="11" max="11" width="9.28515625" customWidth="1"/>
    <col min="12" max="16" width="51" bestFit="1" customWidth="1"/>
    <col min="17" max="17" width="10.5703125" bestFit="1" customWidth="1"/>
  </cols>
  <sheetData>
    <row r="1" spans="1:11" x14ac:dyDescent="0.2">
      <c r="A1" s="17" t="s">
        <v>105</v>
      </c>
      <c r="B1" s="17" t="s">
        <v>106</v>
      </c>
      <c r="C1" s="18" t="s">
        <v>107</v>
      </c>
      <c r="D1" s="19" t="s">
        <v>108</v>
      </c>
      <c r="E1" s="19" t="s">
        <v>164</v>
      </c>
      <c r="F1" s="20" t="s">
        <v>109</v>
      </c>
      <c r="G1" s="21" t="s">
        <v>110</v>
      </c>
      <c r="J1" s="326" t="s">
        <v>346</v>
      </c>
      <c r="K1" s="327"/>
    </row>
    <row r="2" spans="1:11" x14ac:dyDescent="0.2">
      <c r="A2" t="s">
        <v>4</v>
      </c>
      <c r="B2" t="s">
        <v>4</v>
      </c>
      <c r="C2" s="13" t="e">
        <f ca="1">nullrep(FM1_Mother!J7)+nullrep('FM3_Child A'!J7)</f>
        <v>#NAME?</v>
      </c>
      <c r="D2" s="12" t="e">
        <f ca="1">IF(C2&lt;&gt;0,C2+(ROWS(C$2:C2)/1000*(C2&lt;&gt;0)),"")</f>
        <v>#NAME?</v>
      </c>
      <c r="E2" s="12" t="e">
        <f ca="1">MATCH(SMALL(D:D,COUNTIF(D:D,0)+ROWS(D$2:D2)),D:D,0)</f>
        <v>#NAME?</v>
      </c>
      <c r="F2" s="14" t="e">
        <f ca="1">OFFSET($B$1,E2-1,1,1,1)</f>
        <v>#NAME?</v>
      </c>
      <c r="G2" s="15" t="e">
        <f ca="1">OFFSET($B$1,E2-1,0,1,1)</f>
        <v>#NAME?</v>
      </c>
      <c r="J2" s="333" t="s">
        <v>110</v>
      </c>
      <c r="K2" s="327" t="s">
        <v>111</v>
      </c>
    </row>
    <row r="3" spans="1:11" x14ac:dyDescent="0.2">
      <c r="A3" t="s">
        <v>6</v>
      </c>
      <c r="B3" t="s">
        <v>114</v>
      </c>
      <c r="C3" s="13" t="e">
        <f ca="1">nullrep(FM1_Mother!J8)+nullrep('FM3_Child A'!J8)</f>
        <v>#NAME?</v>
      </c>
      <c r="D3" s="12" t="e">
        <f ca="1">IF(C3&lt;&gt;0,C3+(ROWS(C$2:C3)/1000*(C3&lt;&gt;0)),"")</f>
        <v>#NAME?</v>
      </c>
      <c r="E3" s="12" t="e">
        <f ca="1">MATCH(SMALL(D:D,COUNTIF(D:D,0)+ROWS(D$2:D3)),D:D,0)</f>
        <v>#NAME?</v>
      </c>
      <c r="F3" s="14" t="e">
        <f t="shared" ref="F3:F69" ca="1" si="0">OFFSET($B$1,E3-1,1,1,1)</f>
        <v>#NAME?</v>
      </c>
      <c r="G3" s="15" t="e">
        <f t="shared" ref="G3:G69" ca="1" si="1">OFFSET($B$1,E3-1,0,1,1)</f>
        <v>#NAME?</v>
      </c>
      <c r="J3" s="16" t="s">
        <v>138</v>
      </c>
      <c r="K3" s="330">
        <v>8472</v>
      </c>
    </row>
    <row r="4" spans="1:11" x14ac:dyDescent="0.2">
      <c r="A4" t="s">
        <v>8</v>
      </c>
      <c r="B4" t="s">
        <v>8</v>
      </c>
      <c r="C4" s="13" t="e">
        <f ca="1">nullrep(FM1_Mother!J9)+nullrep('FM3_Child A'!J9)</f>
        <v>#NAME?</v>
      </c>
      <c r="D4" s="12" t="e">
        <f ca="1">IF(C4&lt;&gt;0,C4+(ROWS(C$2:C4)/1000*(C4&lt;&gt;0)),"")</f>
        <v>#NAME?</v>
      </c>
      <c r="E4" s="12" t="e">
        <f ca="1">MATCH(SMALL(D:D,COUNTIF(D:D,0)+ROWS(D$2:D4)),D:D,0)</f>
        <v>#NAME?</v>
      </c>
      <c r="F4" s="14" t="e">
        <f t="shared" ca="1" si="0"/>
        <v>#NAME?</v>
      </c>
      <c r="G4" s="15" t="e">
        <f t="shared" ca="1" si="1"/>
        <v>#NAME?</v>
      </c>
      <c r="J4" s="331" t="s">
        <v>321</v>
      </c>
      <c r="K4" s="332">
        <v>1543</v>
      </c>
    </row>
    <row r="5" spans="1:11" x14ac:dyDescent="0.2">
      <c r="A5" t="s">
        <v>136</v>
      </c>
      <c r="B5" t="s">
        <v>136</v>
      </c>
      <c r="C5" s="13" t="e">
        <f ca="1">nullrep(FM1_Mother!J10)+nullrep('FM3_Child A'!J10)</f>
        <v>#NAME?</v>
      </c>
      <c r="D5" s="12" t="e">
        <f ca="1">IF(C5&lt;&gt;0,C5+(ROWS(C$2:C5)/1000*(C5&lt;&gt;0)),"")</f>
        <v>#NAME?</v>
      </c>
      <c r="E5" s="12" t="e">
        <f ca="1">MATCH(SMALL(D:D,COUNTIF(D:D,0)+ROWS(D$2:D5)),D:D,0)</f>
        <v>#NAME?</v>
      </c>
      <c r="F5" s="14" t="e">
        <f t="shared" ca="1" si="0"/>
        <v>#NAME?</v>
      </c>
      <c r="G5" s="15" t="e">
        <f t="shared" ca="1" si="1"/>
        <v>#NAME?</v>
      </c>
      <c r="J5" s="331" t="s">
        <v>42</v>
      </c>
      <c r="K5" s="332">
        <v>1235</v>
      </c>
    </row>
    <row r="6" spans="1:11" x14ac:dyDescent="0.2">
      <c r="A6" t="s">
        <v>10</v>
      </c>
      <c r="B6" t="s">
        <v>115</v>
      </c>
      <c r="C6" s="13" t="e">
        <f ca="1">nullrep(FM1_Mother!J11)+nullrep('FM3_Child A'!J11)</f>
        <v>#NAME?</v>
      </c>
      <c r="D6" s="12" t="e">
        <f ca="1">IF(C6&lt;&gt;0,C6+(ROWS(C$2:C6)/1000*(C6&lt;&gt;0)),"")</f>
        <v>#NAME?</v>
      </c>
      <c r="E6" s="12" t="e">
        <f ca="1">MATCH(SMALL(D:D,COUNTIF(D:D,0)+ROWS(D$2:D6)),D:D,0)</f>
        <v>#NAME?</v>
      </c>
      <c r="F6" s="14" t="e">
        <f t="shared" ca="1" si="0"/>
        <v>#NAME?</v>
      </c>
      <c r="G6" s="15" t="e">
        <f t="shared" ca="1" si="1"/>
        <v>#NAME?</v>
      </c>
      <c r="J6" s="331" t="s">
        <v>170</v>
      </c>
      <c r="K6" s="332">
        <v>624</v>
      </c>
    </row>
    <row r="7" spans="1:11" x14ac:dyDescent="0.2">
      <c r="A7" t="s">
        <v>11</v>
      </c>
      <c r="B7" t="s">
        <v>11</v>
      </c>
      <c r="C7" s="13" t="e">
        <f ca="1">nullrep(FM1_Mother!J12)+nullrep('FM3_Child A'!J12)</f>
        <v>#NAME?</v>
      </c>
      <c r="D7" s="12" t="e">
        <f ca="1">IF(C7&lt;&gt;0,C7+(ROWS(C$2:C7)/1000*(C7&lt;&gt;0)),"")</f>
        <v>#NAME?</v>
      </c>
      <c r="E7" s="12" t="e">
        <f ca="1">MATCH(SMALL(D:D,COUNTIF(D:D,0)+ROWS(D$2:D7)),D:D,0)</f>
        <v>#NAME?</v>
      </c>
      <c r="F7" s="14" t="e">
        <f t="shared" ca="1" si="0"/>
        <v>#NAME?</v>
      </c>
      <c r="G7" s="15" t="e">
        <f t="shared" ca="1" si="1"/>
        <v>#NAME?</v>
      </c>
      <c r="J7" s="331" t="s">
        <v>55</v>
      </c>
      <c r="K7" s="332">
        <v>572</v>
      </c>
    </row>
    <row r="8" spans="1:11" x14ac:dyDescent="0.2">
      <c r="A8" t="s">
        <v>213</v>
      </c>
      <c r="B8" t="s">
        <v>213</v>
      </c>
      <c r="C8" s="13" t="e">
        <f ca="1">nullrep(FM1_Mother!J13)+nullrep('FM3_Child A'!J13)</f>
        <v>#NAME?</v>
      </c>
      <c r="D8" s="12" t="e">
        <f ca="1">IF(C8&lt;&gt;0,C8+(ROWS(C$2:C8)/1000*(C8&lt;&gt;0)),"")</f>
        <v>#NAME?</v>
      </c>
      <c r="E8" s="12" t="e">
        <f ca="1">MATCH(SMALL(D:D,COUNTIF(D:D,0)+ROWS(D$2:D8)),D:D,0)</f>
        <v>#NAME?</v>
      </c>
      <c r="F8" s="14" t="e">
        <f t="shared" ca="1" si="0"/>
        <v>#NAME?</v>
      </c>
      <c r="G8" s="15" t="e">
        <f t="shared" ca="1" si="1"/>
        <v>#NAME?</v>
      </c>
      <c r="J8" s="331" t="s">
        <v>59</v>
      </c>
      <c r="K8" s="332">
        <v>507</v>
      </c>
    </row>
    <row r="9" spans="1:11" x14ac:dyDescent="0.2">
      <c r="A9" t="s">
        <v>94</v>
      </c>
      <c r="B9" t="s">
        <v>94</v>
      </c>
      <c r="C9" s="13" t="e">
        <f ca="1">nullrep(FM1_Mother!J14)+nullrep('FM3_Child A'!J14)</f>
        <v>#NAME?</v>
      </c>
      <c r="D9" s="12" t="e">
        <f ca="1">IF(C9&lt;&gt;0,C9+(ROWS(C$2:C9)/1000*(C9&lt;&gt;0)),"")</f>
        <v>#NAME?</v>
      </c>
      <c r="E9" s="12" t="e">
        <f ca="1">MATCH(SMALL(D:D,COUNTIF(D:D,0)+ROWS(D$2:D9)),D:D,0)</f>
        <v>#NAME?</v>
      </c>
      <c r="F9" s="14" t="e">
        <f t="shared" ca="1" si="0"/>
        <v>#NAME?</v>
      </c>
      <c r="G9" s="15" t="e">
        <f t="shared" ca="1" si="1"/>
        <v>#NAME?</v>
      </c>
      <c r="J9" s="331" t="s">
        <v>63</v>
      </c>
      <c r="K9" s="332">
        <v>416</v>
      </c>
    </row>
    <row r="10" spans="1:11" x14ac:dyDescent="0.2">
      <c r="A10" t="s">
        <v>95</v>
      </c>
      <c r="B10" t="s">
        <v>116</v>
      </c>
      <c r="C10" s="13" t="e">
        <f ca="1">nullrep(FM1_Mother!J15)+nullrep('FM3_Child A'!J15)</f>
        <v>#NAME?</v>
      </c>
      <c r="D10" s="12" t="e">
        <f ca="1">IF(C10&lt;&gt;0,C10+(ROWS(C$2:C10)/1000*(C10&lt;&gt;0)),"")</f>
        <v>#NAME?</v>
      </c>
      <c r="E10" s="12" t="e">
        <f ca="1">MATCH(SMALL(D:D,COUNTIF(D:D,0)+ROWS(D$2:D10)),D:D,0)</f>
        <v>#NAME?</v>
      </c>
      <c r="F10" s="14" t="e">
        <f t="shared" ca="1" si="0"/>
        <v>#NAME?</v>
      </c>
      <c r="G10" s="15" t="e">
        <f t="shared" ca="1" si="1"/>
        <v>#NAME?</v>
      </c>
      <c r="J10" s="331" t="s">
        <v>231</v>
      </c>
      <c r="K10" s="332">
        <v>273</v>
      </c>
    </row>
    <row r="11" spans="1:11" x14ac:dyDescent="0.2">
      <c r="A11" t="s">
        <v>15</v>
      </c>
      <c r="B11" t="s">
        <v>15</v>
      </c>
      <c r="C11" s="13" t="e">
        <f ca="1">nullrep(FM1_Mother!J16)+nullrep('FM3_Child A'!J16)</f>
        <v>#NAME?</v>
      </c>
      <c r="D11" s="12" t="e">
        <f ca="1">IF(C11&lt;&gt;0,C11+(ROWS(C$2:C11)/1000*(C11&lt;&gt;0)),"")</f>
        <v>#NAME?</v>
      </c>
      <c r="E11" s="12" t="e">
        <f ca="1">MATCH(SMALL(D:D,COUNTIF(D:D,0)+ROWS(D$2:D11)),D:D,0)</f>
        <v>#NAME?</v>
      </c>
      <c r="F11" s="14" t="e">
        <f t="shared" ca="1" si="0"/>
        <v>#NAME?</v>
      </c>
      <c r="G11" s="15" t="e">
        <f t="shared" ca="1" si="1"/>
        <v>#NAME?</v>
      </c>
      <c r="J11" s="331" t="s">
        <v>40</v>
      </c>
      <c r="K11" s="332">
        <v>272.37</v>
      </c>
    </row>
    <row r="12" spans="1:11" x14ac:dyDescent="0.2">
      <c r="A12" t="s">
        <v>99</v>
      </c>
      <c r="B12" t="s">
        <v>117</v>
      </c>
      <c r="C12" s="13" t="e">
        <f ca="1">nullrep(FM1_Mother!J17)+nullrep('FM3_Child A'!J17)</f>
        <v>#NAME?</v>
      </c>
      <c r="D12" s="12" t="e">
        <f ca="1">IF(C12&lt;&gt;0,C12+(ROWS(C$2:C12)/1000*(C12&lt;&gt;0)),"")</f>
        <v>#NAME?</v>
      </c>
      <c r="E12" s="12" t="e">
        <f ca="1">MATCH(SMALL(D:D,COUNTIF(D:D,0)+ROWS(D$2:D12)),D:D,0)</f>
        <v>#NAME?</v>
      </c>
      <c r="F12" s="14" t="e">
        <f t="shared" ca="1" si="0"/>
        <v>#NAME?</v>
      </c>
      <c r="G12" s="15" t="e">
        <f t="shared" ca="1" si="1"/>
        <v>#NAME?</v>
      </c>
      <c r="J12" s="331" t="s">
        <v>319</v>
      </c>
      <c r="K12" s="332">
        <v>224</v>
      </c>
    </row>
    <row r="13" spans="1:11" x14ac:dyDescent="0.2">
      <c r="A13" t="s">
        <v>16</v>
      </c>
      <c r="B13" t="s">
        <v>16</v>
      </c>
      <c r="C13" s="13" t="e">
        <f ca="1">nullrep(FM1_Mother!J18)+nullrep('FM3_Child A'!J18)</f>
        <v>#NAME?</v>
      </c>
      <c r="D13" s="12" t="e">
        <f ca="1">IF(C13&lt;&gt;0,C13+(ROWS(C$2:C13)/1000*(C13&lt;&gt;0)),"")</f>
        <v>#NAME?</v>
      </c>
      <c r="E13" s="12" t="e">
        <f ca="1">MATCH(SMALL(D:D,COUNTIF(D:D,0)+ROWS(D$2:D13)),D:D,0)</f>
        <v>#NAME?</v>
      </c>
      <c r="F13" s="14" t="e">
        <f t="shared" ca="1" si="0"/>
        <v>#NAME?</v>
      </c>
      <c r="G13" s="15" t="e">
        <f t="shared" ca="1" si="1"/>
        <v>#NAME?</v>
      </c>
      <c r="J13" s="328" t="s">
        <v>347</v>
      </c>
      <c r="K13" s="329">
        <v>14138.37</v>
      </c>
    </row>
    <row r="14" spans="1:11" x14ac:dyDescent="0.2">
      <c r="A14" t="s">
        <v>17</v>
      </c>
      <c r="B14" t="s">
        <v>17</v>
      </c>
      <c r="C14" s="13" t="e">
        <f ca="1">nullrep(FM1_Mother!J19)+nullrep('FM3_Child A'!J19)</f>
        <v>#NAME?</v>
      </c>
      <c r="D14" s="12" t="e">
        <f ca="1">IF(C14&lt;&gt;0,C14+(ROWS(C$2:C14)/1000*(C14&lt;&gt;0)),"")</f>
        <v>#NAME?</v>
      </c>
      <c r="E14" s="12" t="e">
        <f ca="1">MATCH(SMALL(D:D,COUNTIF(D:D,0)+ROWS(D$2:D14)),D:D,0)</f>
        <v>#NAME?</v>
      </c>
      <c r="F14" s="14" t="e">
        <f t="shared" ca="1" si="0"/>
        <v>#NAME?</v>
      </c>
      <c r="G14" s="15" t="e">
        <f t="shared" ca="1" si="1"/>
        <v>#NAME?</v>
      </c>
    </row>
    <row r="15" spans="1:11" x14ac:dyDescent="0.2">
      <c r="A15" t="s">
        <v>18</v>
      </c>
      <c r="B15" t="s">
        <v>18</v>
      </c>
      <c r="C15" s="13" t="e">
        <f ca="1">nullrep(FM1_Mother!J20)+nullrep('FM3_Child A'!J20)</f>
        <v>#NAME?</v>
      </c>
      <c r="D15" s="12" t="e">
        <f ca="1">IF(C15&lt;&gt;0,C15+(ROWS(C$2:C15)/1000*(C15&lt;&gt;0)),"")</f>
        <v>#NAME?</v>
      </c>
      <c r="E15" s="12" t="e">
        <f ca="1">MATCH(SMALL(D:D,COUNTIF(D:D,0)+ROWS(D$2:D15)),D:D,0)</f>
        <v>#NAME?</v>
      </c>
      <c r="F15" s="14" t="e">
        <f t="shared" ca="1" si="0"/>
        <v>#NAME?</v>
      </c>
      <c r="G15" s="15" t="e">
        <f t="shared" ca="1" si="1"/>
        <v>#NAME?</v>
      </c>
    </row>
    <row r="16" spans="1:11" x14ac:dyDescent="0.2">
      <c r="A16" t="s">
        <v>19</v>
      </c>
      <c r="B16" t="s">
        <v>19</v>
      </c>
      <c r="C16" s="13" t="e">
        <f ca="1">nullrep(FM1_Mother!J21)+nullrep('FM3_Child A'!J21)</f>
        <v>#NAME?</v>
      </c>
      <c r="D16" s="12" t="e">
        <f ca="1">IF(C16&lt;&gt;0,C16+(ROWS(C$2:C16)/1000*(C16&lt;&gt;0)),"")</f>
        <v>#NAME?</v>
      </c>
      <c r="E16" s="12" t="e">
        <f ca="1">MATCH(SMALL(D:D,COUNTIF(D:D,0)+ROWS(D$2:D16)),D:D,0)</f>
        <v>#NAME?</v>
      </c>
      <c r="F16" s="14" t="e">
        <f t="shared" ca="1" si="0"/>
        <v>#NAME?</v>
      </c>
      <c r="G16" s="15" t="e">
        <f t="shared" ca="1" si="1"/>
        <v>#NAME?</v>
      </c>
    </row>
    <row r="17" spans="1:7" x14ac:dyDescent="0.2">
      <c r="A17" t="s">
        <v>20</v>
      </c>
      <c r="B17" t="s">
        <v>20</v>
      </c>
      <c r="C17" s="13" t="e">
        <f ca="1">nullrep(FM1_Mother!J22)+nullrep('FM3_Child A'!J22)</f>
        <v>#NAME?</v>
      </c>
      <c r="D17" s="12" t="e">
        <f ca="1">IF(C17&lt;&gt;0,C17+(ROWS(C$2:C17)/1000*(C17&lt;&gt;0)),"")</f>
        <v>#NAME?</v>
      </c>
      <c r="E17" s="12" t="e">
        <f ca="1">MATCH(SMALL(D:D,COUNTIF(D:D,0)+ROWS(D$2:D17)),D:D,0)</f>
        <v>#NAME?</v>
      </c>
      <c r="F17" s="14" t="e">
        <f t="shared" ca="1" si="0"/>
        <v>#NAME?</v>
      </c>
      <c r="G17" s="15" t="e">
        <f t="shared" ca="1" si="1"/>
        <v>#NAME?</v>
      </c>
    </row>
    <row r="18" spans="1:7" x14ac:dyDescent="0.2">
      <c r="A18" t="s">
        <v>97</v>
      </c>
      <c r="B18" t="s">
        <v>118</v>
      </c>
      <c r="C18" s="13" t="e">
        <f ca="1">nullrep(FM1_Mother!J23)+nullrep('FM3_Child A'!J23)</f>
        <v>#NAME?</v>
      </c>
      <c r="D18" s="12" t="e">
        <f ca="1">IF(C18&lt;&gt;0,C18+(ROWS(C$2:C18)/1000*(C18&lt;&gt;0)),"")</f>
        <v>#NAME?</v>
      </c>
      <c r="E18" s="12" t="e">
        <f ca="1">MATCH(SMALL(D:D,COUNTIF(D:D,0)+ROWS(D$2:D18)),D:D,0)</f>
        <v>#NAME?</v>
      </c>
      <c r="F18" s="14" t="e">
        <f t="shared" ca="1" si="0"/>
        <v>#NAME?</v>
      </c>
      <c r="G18" s="15" t="e">
        <f t="shared" ca="1" si="1"/>
        <v>#NAME?</v>
      </c>
    </row>
    <row r="19" spans="1:7" x14ac:dyDescent="0.2">
      <c r="A19" t="s">
        <v>96</v>
      </c>
      <c r="B19" t="s">
        <v>119</v>
      </c>
      <c r="C19" s="13" t="e">
        <f ca="1">nullrep(FM1_Mother!J24)+nullrep('FM3_Child A'!J24)</f>
        <v>#NAME?</v>
      </c>
      <c r="D19" s="12" t="e">
        <f ca="1">IF(C19&lt;&gt;0,C19+(ROWS(C$2:C19)/1000*(C19&lt;&gt;0)),"")</f>
        <v>#NAME?</v>
      </c>
      <c r="E19" s="12" t="e">
        <f ca="1">MATCH(SMALL(D:D,COUNTIF(D:D,0)+ROWS(D$2:D19)),D:D,0)</f>
        <v>#NAME?</v>
      </c>
      <c r="F19" s="14" t="e">
        <f t="shared" ca="1" si="0"/>
        <v>#NAME?</v>
      </c>
      <c r="G19" s="15" t="e">
        <f t="shared" ca="1" si="1"/>
        <v>#NAME?</v>
      </c>
    </row>
    <row r="20" spans="1:7" x14ac:dyDescent="0.2">
      <c r="A20" t="s">
        <v>22</v>
      </c>
      <c r="B20" t="s">
        <v>22</v>
      </c>
      <c r="C20" s="13" t="e">
        <f ca="1">nullrep(FM1_Mother!J25)+nullrep('FM3_Child A'!J25)</f>
        <v>#NAME?</v>
      </c>
      <c r="D20" s="12" t="e">
        <f ca="1">IF(C20&lt;&gt;0,C20+(ROWS(C$2:C20)/1000*(C20&lt;&gt;0)),"")</f>
        <v>#NAME?</v>
      </c>
      <c r="E20" s="12" t="e">
        <f ca="1">MATCH(SMALL(D:D,COUNTIF(D:D,0)+ROWS(D$2:D20)),D:D,0)</f>
        <v>#NAME?</v>
      </c>
      <c r="F20" s="14" t="e">
        <f t="shared" ca="1" si="0"/>
        <v>#NAME?</v>
      </c>
      <c r="G20" s="15" t="e">
        <f t="shared" ca="1" si="1"/>
        <v>#NAME?</v>
      </c>
    </row>
    <row r="21" spans="1:7" x14ac:dyDescent="0.2">
      <c r="A21" t="s">
        <v>318</v>
      </c>
      <c r="B21" t="s">
        <v>318</v>
      </c>
      <c r="C21" s="13" t="e">
        <f ca="1">nullrep(FM1_Mother!J28)+nullrep('FM3_Child A'!J28)</f>
        <v>#NAME?</v>
      </c>
      <c r="D21" s="12" t="e">
        <f ca="1">IF(C21&lt;&gt;0,C21+(ROWS(C$2:C21)/1000*(C21&lt;&gt;0)),"")</f>
        <v>#NAME?</v>
      </c>
      <c r="E21" s="12" t="e">
        <f ca="1">MATCH(SMALL(D:D,COUNTIF(D:D,0)+ROWS(D$2:D21)),D:D,0)</f>
        <v>#NAME?</v>
      </c>
      <c r="F21" s="14" t="e">
        <f t="shared" ca="1" si="0"/>
        <v>#NAME?</v>
      </c>
      <c r="G21" s="15" t="e">
        <f t="shared" ca="1" si="1"/>
        <v>#NAME?</v>
      </c>
    </row>
    <row r="22" spans="1:7" x14ac:dyDescent="0.2">
      <c r="A22" t="s">
        <v>85</v>
      </c>
      <c r="B22" t="s">
        <v>120</v>
      </c>
      <c r="C22" s="13" t="e">
        <f ca="1">nullrep(FM1_Mother!J29)+nullrep('FM3_Child A'!J29)</f>
        <v>#NAME?</v>
      </c>
      <c r="D22" s="12" t="e">
        <f ca="1">IF(C22&lt;&gt;0,C22+(ROWS(C$2:C22)/1000*(C22&lt;&gt;0)),"")</f>
        <v>#NAME?</v>
      </c>
      <c r="E22" s="12" t="e">
        <f ca="1">MATCH(SMALL(D:D,COUNTIF(D:D,0)+ROWS(D$2:D22)),D:D,0)</f>
        <v>#NAME?</v>
      </c>
      <c r="F22" s="14" t="e">
        <f t="shared" ca="1" si="0"/>
        <v>#NAME?</v>
      </c>
      <c r="G22" s="15" t="e">
        <f t="shared" ca="1" si="1"/>
        <v>#NAME?</v>
      </c>
    </row>
    <row r="23" spans="1:7" x14ac:dyDescent="0.2">
      <c r="A23" t="s">
        <v>86</v>
      </c>
      <c r="B23" t="s">
        <v>121</v>
      </c>
      <c r="C23" s="13" t="e">
        <f ca="1">nullrep(FM1_Mother!J30)+nullrep('FM3_Child A'!J30)</f>
        <v>#NAME?</v>
      </c>
      <c r="D23" s="12" t="e">
        <f ca="1">IF(C23&lt;&gt;0,C23+(ROWS(C$2:C23)/1000*(C23&lt;&gt;0)),"")</f>
        <v>#NAME?</v>
      </c>
      <c r="E23" s="12" t="e">
        <f ca="1">MATCH(SMALL(D:D,COUNTIF(D:D,0)+ROWS(D$2:D23)),D:D,0)</f>
        <v>#NAME?</v>
      </c>
      <c r="F23" s="14" t="e">
        <f t="shared" ca="1" si="0"/>
        <v>#NAME?</v>
      </c>
      <c r="G23" s="15" t="e">
        <f t="shared" ca="1" si="1"/>
        <v>#NAME?</v>
      </c>
    </row>
    <row r="24" spans="1:7" x14ac:dyDescent="0.2">
      <c r="A24" t="s">
        <v>87</v>
      </c>
      <c r="B24" t="s">
        <v>122</v>
      </c>
      <c r="C24" s="13" t="e">
        <f ca="1">nullrep(FM1_Mother!J31)+nullrep('FM3_Child A'!J31)</f>
        <v>#NAME?</v>
      </c>
      <c r="D24" s="12" t="e">
        <f ca="1">IF(C24&lt;&gt;0,C24+(ROWS(C$2:C24)/1000*(C24&lt;&gt;0)),"")</f>
        <v>#NAME?</v>
      </c>
      <c r="E24" s="12" t="e">
        <f ca="1">MATCH(SMALL(D:D,COUNTIF(D:D,0)+ROWS(D$2:D24)),D:D,0)</f>
        <v>#NAME?</v>
      </c>
      <c r="F24" s="14" t="e">
        <f t="shared" ca="1" si="0"/>
        <v>#NAME?</v>
      </c>
      <c r="G24" s="15" t="e">
        <f t="shared" ca="1" si="1"/>
        <v>#NAME?</v>
      </c>
    </row>
    <row r="25" spans="1:7" x14ac:dyDescent="0.2">
      <c r="A25" t="s">
        <v>155</v>
      </c>
      <c r="B25" t="s">
        <v>155</v>
      </c>
      <c r="C25" s="13" t="e">
        <f ca="1">nullrep(FM1_Mother!J32)+nullrep('FM3_Child A'!J32)</f>
        <v>#NAME?</v>
      </c>
      <c r="D25" s="12" t="e">
        <f ca="1">IF(C25&lt;&gt;0,C25+(ROWS(C$2:C25)/1000*(C25&lt;&gt;0)),"")</f>
        <v>#NAME?</v>
      </c>
      <c r="E25" s="12" t="e">
        <f ca="1">MATCH(SMALL(D:D,COUNTIF(D:D,0)+ROWS(D$2:D25)),D:D,0)</f>
        <v>#NAME?</v>
      </c>
      <c r="F25" s="14" t="e">
        <f t="shared" ca="1" si="0"/>
        <v>#NAME?</v>
      </c>
      <c r="G25" s="15" t="e">
        <f t="shared" ca="1" si="1"/>
        <v>#NAME?</v>
      </c>
    </row>
    <row r="26" spans="1:7" x14ac:dyDescent="0.2">
      <c r="A26" t="s">
        <v>168</v>
      </c>
      <c r="B26" t="s">
        <v>168</v>
      </c>
      <c r="C26" s="13" t="e">
        <f ca="1">nullrep(FM1_Mother!J33)+nullrep('FM3_Child A'!J33)</f>
        <v>#NAME?</v>
      </c>
      <c r="D26" s="12" t="e">
        <f ca="1">IF(C26&lt;&gt;0,C26+(ROWS(C$2:C26)/1000*(C26&lt;&gt;0)),"")</f>
        <v>#NAME?</v>
      </c>
      <c r="E26" s="12" t="e">
        <f ca="1">MATCH(SMALL(D:D,COUNTIF(D:D,0)+ROWS(D$2:D26)),D:D,0)</f>
        <v>#NAME?</v>
      </c>
      <c r="F26" s="14" t="e">
        <f t="shared" ca="1" si="0"/>
        <v>#NAME?</v>
      </c>
      <c r="G26" s="15" t="e">
        <f t="shared" ca="1" si="1"/>
        <v>#NAME?</v>
      </c>
    </row>
    <row r="27" spans="1:7" x14ac:dyDescent="0.2">
      <c r="A27" t="s">
        <v>199</v>
      </c>
      <c r="B27" t="s">
        <v>199</v>
      </c>
      <c r="C27" s="13" t="e">
        <f ca="1">nullrep(FM1_Mother!J34)+nullrep('FM3_Child A'!J34)</f>
        <v>#NAME?</v>
      </c>
      <c r="D27" s="12" t="e">
        <f ca="1">IF(C27&lt;&gt;0,C27+(ROWS(C$2:C27)/1000*(C27&lt;&gt;0)),"")</f>
        <v>#NAME?</v>
      </c>
      <c r="E27" s="12" t="e">
        <f ca="1">MATCH(SMALL(D:D,COUNTIF(D:D,0)+ROWS(D$2:D27)),D:D,0)</f>
        <v>#NAME?</v>
      </c>
      <c r="F27" s="14" t="e">
        <f t="shared" ca="1" si="0"/>
        <v>#NAME?</v>
      </c>
      <c r="G27" s="15" t="e">
        <f t="shared" ca="1" si="1"/>
        <v>#NAME?</v>
      </c>
    </row>
    <row r="28" spans="1:7" x14ac:dyDescent="0.2">
      <c r="A28" t="s">
        <v>219</v>
      </c>
      <c r="B28" t="s">
        <v>219</v>
      </c>
      <c r="C28" s="13" t="e">
        <f ca="1">nullrep(FM1_Mother!J35)+nullrep('FM3_Child A'!J35)</f>
        <v>#NAME?</v>
      </c>
      <c r="D28" s="12" t="e">
        <f ca="1">IF(C28&lt;&gt;0,C28+(ROWS(C$2:C28)/1000*(C28&lt;&gt;0)),"")</f>
        <v>#NAME?</v>
      </c>
      <c r="E28" s="12" t="e">
        <f ca="1">MATCH(SMALL(D:D,COUNTIF(D:D,0)+ROWS(D$2:D28)),D:D,0)</f>
        <v>#NAME?</v>
      </c>
      <c r="F28" s="14" t="e">
        <f t="shared" ca="1" si="0"/>
        <v>#NAME?</v>
      </c>
      <c r="G28" s="15" t="e">
        <f t="shared" ca="1" si="1"/>
        <v>#NAME?</v>
      </c>
    </row>
    <row r="29" spans="1:7" x14ac:dyDescent="0.2">
      <c r="A29" t="s">
        <v>26</v>
      </c>
      <c r="B29" t="s">
        <v>123</v>
      </c>
      <c r="C29" s="13" t="e">
        <f ca="1">nullrep(FM1_Mother!J38)+nullrep('FM3_Child A'!J38)</f>
        <v>#NAME?</v>
      </c>
      <c r="D29" s="12" t="e">
        <f ca="1">IF(C29&lt;&gt;0,C29+(ROWS(C$2:C29)/1000*(C29&lt;&gt;0)),"")</f>
        <v>#NAME?</v>
      </c>
      <c r="E29" s="12" t="e">
        <f ca="1">MATCH(SMALL(D:D,COUNTIF(D:D,0)+ROWS(D$2:D29)),D:D,0)</f>
        <v>#NAME?</v>
      </c>
      <c r="F29" s="14" t="e">
        <f t="shared" ca="1" si="0"/>
        <v>#NAME?</v>
      </c>
      <c r="G29" s="15" t="e">
        <f t="shared" ca="1" si="1"/>
        <v>#NAME?</v>
      </c>
    </row>
    <row r="30" spans="1:7" x14ac:dyDescent="0.2">
      <c r="A30" t="s">
        <v>27</v>
      </c>
      <c r="B30" t="s">
        <v>27</v>
      </c>
      <c r="C30" s="13" t="e">
        <f ca="1">nullrep(FM1_Mother!J39)+nullrep('FM3_Child A'!J39)</f>
        <v>#NAME?</v>
      </c>
      <c r="D30" s="12" t="e">
        <f ca="1">IF(C30&lt;&gt;0,C30+(ROWS(C$2:C30)/1000*(C30&lt;&gt;0)),"")</f>
        <v>#NAME?</v>
      </c>
      <c r="E30" s="12" t="e">
        <f ca="1">MATCH(SMALL(D:D,COUNTIF(D:D,0)+ROWS(D$2:D30)),D:D,0)</f>
        <v>#NAME?</v>
      </c>
      <c r="F30" s="14" t="e">
        <f t="shared" ca="1" si="0"/>
        <v>#NAME?</v>
      </c>
      <c r="G30" s="15" t="e">
        <f ca="1">OFFSET($B$1,E30-1,0,1,1)</f>
        <v>#NAME?</v>
      </c>
    </row>
    <row r="31" spans="1:7" x14ac:dyDescent="0.2">
      <c r="A31" t="s">
        <v>28</v>
      </c>
      <c r="B31" t="s">
        <v>28</v>
      </c>
      <c r="C31" s="13" t="e">
        <f ca="1">nullrep(FM1_Mother!J40)+nullrep('FM3_Child A'!J40)</f>
        <v>#NAME?</v>
      </c>
      <c r="D31" s="12" t="e">
        <f ca="1">IF(C31&lt;&gt;0,C31+(ROWS(C$2:C31)/1000*(C31&lt;&gt;0)),"")</f>
        <v>#NAME?</v>
      </c>
      <c r="E31" s="12" t="e">
        <f ca="1">MATCH(SMALL(D:D,COUNTIF(D:D,0)+ROWS(D$2:D31)),D:D,0)</f>
        <v>#NAME?</v>
      </c>
      <c r="F31" s="14" t="e">
        <f t="shared" ca="1" si="0"/>
        <v>#NAME?</v>
      </c>
      <c r="G31" s="15" t="e">
        <f ca="1">OFFSET($B$1,E31-1,0,1,1)</f>
        <v>#NAME?</v>
      </c>
    </row>
    <row r="32" spans="1:7" x14ac:dyDescent="0.2">
      <c r="A32" t="s">
        <v>29</v>
      </c>
      <c r="B32" t="s">
        <v>29</v>
      </c>
      <c r="C32" s="13" t="e">
        <f ca="1">nullrep(FM1_Mother!J41)+nullrep('FM3_Child A'!J41)</f>
        <v>#NAME?</v>
      </c>
      <c r="D32" s="12" t="e">
        <f ca="1">IF(C32&lt;&gt;0,C32+(ROWS(C$2:C32)/1000*(C32&lt;&gt;0)),"")</f>
        <v>#NAME?</v>
      </c>
      <c r="E32" s="12" t="e">
        <f ca="1">MATCH(SMALL(D:D,COUNTIF(D:D,0)+ROWS(D$2:D32)),D:D,0)</f>
        <v>#NAME?</v>
      </c>
      <c r="F32" s="14" t="e">
        <f t="shared" ca="1" si="0"/>
        <v>#NAME?</v>
      </c>
      <c r="G32" s="15" t="e">
        <f t="shared" ca="1" si="1"/>
        <v>#NAME?</v>
      </c>
    </row>
    <row r="33" spans="1:7" x14ac:dyDescent="0.2">
      <c r="A33" t="s">
        <v>30</v>
      </c>
      <c r="B33" t="s">
        <v>124</v>
      </c>
      <c r="C33" s="13" t="e">
        <f ca="1">nullrep(FM1_Mother!J42)+nullrep('FM3_Child A'!J42)</f>
        <v>#NAME?</v>
      </c>
      <c r="D33" s="12" t="e">
        <f ca="1">IF(C33&lt;&gt;0,C33+(ROWS(C$2:C33)/1000*(C33&lt;&gt;0)),"")</f>
        <v>#NAME?</v>
      </c>
      <c r="E33" s="12" t="e">
        <f ca="1">MATCH(SMALL(D:D,COUNTIF(D:D,0)+ROWS(D$2:D33)),D:D,0)</f>
        <v>#NAME?</v>
      </c>
      <c r="F33" s="14" t="e">
        <f t="shared" ca="1" si="0"/>
        <v>#NAME?</v>
      </c>
      <c r="G33" s="15" t="e">
        <f t="shared" ca="1" si="1"/>
        <v>#NAME?</v>
      </c>
    </row>
    <row r="34" spans="1:7" x14ac:dyDescent="0.2">
      <c r="A34" t="s">
        <v>31</v>
      </c>
      <c r="B34" t="s">
        <v>31</v>
      </c>
      <c r="C34" s="13" t="e">
        <f ca="1">nullrep(FM1_Mother!J43)+nullrep('FM3_Child A'!J43)</f>
        <v>#NAME?</v>
      </c>
      <c r="D34" s="12" t="e">
        <f ca="1">IF(C34&lt;&gt;0,C34+(ROWS(C$2:C34)/1000*(C34&lt;&gt;0)),"")</f>
        <v>#NAME?</v>
      </c>
      <c r="E34" s="12" t="e">
        <f ca="1">MATCH(SMALL(D:D,COUNTIF(D:D,0)+ROWS(D$2:D34)),D:D,0)</f>
        <v>#NAME?</v>
      </c>
      <c r="F34" s="14" t="e">
        <f t="shared" ca="1" si="0"/>
        <v>#NAME?</v>
      </c>
      <c r="G34" s="15" t="e">
        <f t="shared" ca="1" si="1"/>
        <v>#NAME?</v>
      </c>
    </row>
    <row r="35" spans="1:7" x14ac:dyDescent="0.2">
      <c r="A35" t="s">
        <v>32</v>
      </c>
      <c r="B35" t="s">
        <v>32</v>
      </c>
      <c r="C35" s="13" t="e">
        <f ca="1">nullrep(FM1_Mother!J44)+nullrep('FM3_Child A'!J44)</f>
        <v>#NAME?</v>
      </c>
      <c r="D35" s="12" t="e">
        <f ca="1">IF(C35&lt;&gt;0,C35+(ROWS(C$2:C35)/1000*(C35&lt;&gt;0)),"")</f>
        <v>#NAME?</v>
      </c>
      <c r="E35" s="12" t="e">
        <f ca="1">MATCH(SMALL(D:D,COUNTIF(D:D,0)+ROWS(D$2:D35)),D:D,0)</f>
        <v>#NAME?</v>
      </c>
      <c r="F35" s="14" t="e">
        <f t="shared" ca="1" si="0"/>
        <v>#NAME?</v>
      </c>
      <c r="G35" s="15" t="e">
        <f t="shared" ca="1" si="1"/>
        <v>#NAME?</v>
      </c>
    </row>
    <row r="36" spans="1:7" x14ac:dyDescent="0.2">
      <c r="A36" t="s">
        <v>33</v>
      </c>
      <c r="B36" t="s">
        <v>33</v>
      </c>
      <c r="C36" s="13" t="e">
        <f ca="1">nullrep(FM1_Mother!J45)+nullrep('FM3_Child A'!J45)</f>
        <v>#NAME?</v>
      </c>
      <c r="D36" s="12" t="e">
        <f ca="1">IF(C36&lt;&gt;0,C36+(ROWS(C$2:C36)/1000*(C36&lt;&gt;0)),"")</f>
        <v>#NAME?</v>
      </c>
      <c r="E36" s="12" t="e">
        <f ca="1">MATCH(SMALL(D:D,COUNTIF(D:D,0)+ROWS(D$2:D36)),D:D,0)</f>
        <v>#NAME?</v>
      </c>
      <c r="F36" s="14" t="e">
        <f t="shared" ca="1" si="0"/>
        <v>#NAME?</v>
      </c>
      <c r="G36" s="15" t="e">
        <f t="shared" ca="1" si="1"/>
        <v>#NAME?</v>
      </c>
    </row>
    <row r="37" spans="1:7" x14ac:dyDescent="0.2">
      <c r="A37" t="s">
        <v>34</v>
      </c>
      <c r="B37" t="s">
        <v>34</v>
      </c>
      <c r="C37" s="13" t="e">
        <f ca="1">nullrep(FM1_Mother!J46)+nullrep('FM3_Child A'!J46)</f>
        <v>#NAME?</v>
      </c>
      <c r="D37" s="12" t="e">
        <f ca="1">IF(C37&lt;&gt;0,C37+(ROWS(C$2:C37)/1000*(C37&lt;&gt;0)),"")</f>
        <v>#NAME?</v>
      </c>
      <c r="E37" s="12" t="e">
        <f ca="1">MATCH(SMALL(D:D,COUNTIF(D:D,0)+ROWS(D$2:D37)),D:D,0)</f>
        <v>#NAME?</v>
      </c>
      <c r="F37" s="14" t="e">
        <f t="shared" ca="1" si="0"/>
        <v>#NAME?</v>
      </c>
      <c r="G37" s="15" t="e">
        <f t="shared" ca="1" si="1"/>
        <v>#NAME?</v>
      </c>
    </row>
    <row r="38" spans="1:7" x14ac:dyDescent="0.2">
      <c r="A38" t="s">
        <v>35</v>
      </c>
      <c r="B38" t="s">
        <v>35</v>
      </c>
      <c r="C38" s="13" t="e">
        <f ca="1">nullrep(FM1_Mother!J47)+nullrep('FM3_Child A'!J47)</f>
        <v>#NAME?</v>
      </c>
      <c r="D38" s="12" t="e">
        <f ca="1">IF(C38&lt;&gt;0,C38+(ROWS(C$2:C38)/1000*(C38&lt;&gt;0)),"")</f>
        <v>#NAME?</v>
      </c>
      <c r="E38" s="12" t="e">
        <f ca="1">MATCH(SMALL(D:D,COUNTIF(D:D,0)+ROWS(D$2:D38)),D:D,0)</f>
        <v>#NAME?</v>
      </c>
      <c r="F38" s="14" t="e">
        <f t="shared" ca="1" si="0"/>
        <v>#NAME?</v>
      </c>
      <c r="G38" s="15" t="e">
        <f t="shared" ca="1" si="1"/>
        <v>#NAME?</v>
      </c>
    </row>
    <row r="39" spans="1:7" x14ac:dyDescent="0.2">
      <c r="A39" t="s">
        <v>36</v>
      </c>
      <c r="B39" t="s">
        <v>36</v>
      </c>
      <c r="C39" s="13" t="e">
        <f ca="1">nullrep(FM1_Mother!J48)+nullrep('FM3_Child A'!J48)</f>
        <v>#NAME?</v>
      </c>
      <c r="D39" s="12" t="e">
        <f ca="1">IF(C39&lt;&gt;0,C39+(ROWS(C$2:C39)/1000*(C39&lt;&gt;0)),"")</f>
        <v>#NAME?</v>
      </c>
      <c r="E39" s="12" t="e">
        <f ca="1">MATCH(SMALL(D:D,COUNTIF(D:D,0)+ROWS(D$2:D39)),D:D,0)</f>
        <v>#NAME?</v>
      </c>
      <c r="F39" s="14" t="e">
        <f t="shared" ca="1" si="0"/>
        <v>#NAME?</v>
      </c>
      <c r="G39" s="15" t="e">
        <f t="shared" ca="1" si="1"/>
        <v>#NAME?</v>
      </c>
    </row>
    <row r="40" spans="1:7" x14ac:dyDescent="0.2">
      <c r="A40" t="s">
        <v>137</v>
      </c>
      <c r="B40" t="s">
        <v>139</v>
      </c>
      <c r="C40" s="13" t="e">
        <f ca="1">nullrep(FM1_Mother!J49)+nullrep('FM3_Child A'!J49)</f>
        <v>#NAME?</v>
      </c>
      <c r="D40" s="12" t="e">
        <f ca="1">IF(C40&lt;&gt;0,C40+(ROWS(C$2:C40)/1000*(C40&lt;&gt;0)),"")</f>
        <v>#NAME?</v>
      </c>
      <c r="E40" s="12" t="e">
        <f ca="1">MATCH(SMALL(D:D,COUNTIF(D:D,0)+ROWS(D$2:D40)),D:D,0)</f>
        <v>#NAME?</v>
      </c>
      <c r="F40" s="14" t="e">
        <f t="shared" ca="1" si="0"/>
        <v>#NAME?</v>
      </c>
      <c r="G40" s="15" t="e">
        <f t="shared" ca="1" si="1"/>
        <v>#NAME?</v>
      </c>
    </row>
    <row r="41" spans="1:7" x14ac:dyDescent="0.2">
      <c r="A41" t="s">
        <v>167</v>
      </c>
      <c r="B41" t="s">
        <v>167</v>
      </c>
      <c r="C41" s="13" t="e">
        <f ca="1">nullrep(FM1_Mother!J50)+nullrep('FM3_Child A'!J50)</f>
        <v>#NAME?</v>
      </c>
      <c r="D41" s="12" t="e">
        <f ca="1">IF(C41&lt;&gt;0,C41+(ROWS(C$2:C41)/1000*(C41&lt;&gt;0)),"")</f>
        <v>#NAME?</v>
      </c>
      <c r="E41" s="12" t="e">
        <f ca="1">MATCH(SMALL(D:D,COUNTIF(D:D,0)+ROWS(D$2:D41)),D:D,0)</f>
        <v>#NAME?</v>
      </c>
      <c r="F41" s="14" t="e">
        <f t="shared" ca="1" si="0"/>
        <v>#NAME?</v>
      </c>
      <c r="G41" s="15" t="e">
        <f t="shared" ca="1" si="1"/>
        <v>#NAME?</v>
      </c>
    </row>
    <row r="42" spans="1:7" x14ac:dyDescent="0.2">
      <c r="A42" t="s">
        <v>38</v>
      </c>
      <c r="B42" t="s">
        <v>38</v>
      </c>
      <c r="C42" s="13" t="e">
        <f ca="1">nullrep(FM1_Mother!J53)+nullrep('FM3_Child A'!J53)</f>
        <v>#NAME?</v>
      </c>
      <c r="D42" s="12" t="e">
        <f ca="1">IF(C42&lt;&gt;0,C42+(ROWS(C$2:C42)/1000*(C42&lt;&gt;0)),"")</f>
        <v>#NAME?</v>
      </c>
      <c r="E42" s="12" t="e">
        <f ca="1">MATCH(SMALL(D:D,COUNTIF(D:D,0)+ROWS(D$2:D42)),D:D,0)</f>
        <v>#NAME?</v>
      </c>
      <c r="F42" s="14" t="e">
        <f t="shared" ca="1" si="0"/>
        <v>#NAME?</v>
      </c>
      <c r="G42" s="15" t="e">
        <f t="shared" ca="1" si="1"/>
        <v>#NAME?</v>
      </c>
    </row>
    <row r="43" spans="1:7" x14ac:dyDescent="0.2">
      <c r="A43" t="s">
        <v>160</v>
      </c>
      <c r="B43" t="s">
        <v>160</v>
      </c>
      <c r="C43" s="13" t="e">
        <f ca="1">nullrep(FM1_Mother!J54)+nullrep('FM3_Child A'!J54)</f>
        <v>#NAME?</v>
      </c>
      <c r="D43" s="12" t="e">
        <f ca="1">IF(C43&lt;&gt;0,C43+(ROWS(C$2:C43)/1000*(C43&lt;&gt;0)),"")</f>
        <v>#NAME?</v>
      </c>
      <c r="E43" s="12" t="e">
        <f ca="1">MATCH(SMALL(D:D,COUNTIF(D:D,0)+ROWS(D$2:D43)),D:D,0)</f>
        <v>#NAME?</v>
      </c>
      <c r="F43" s="14" t="e">
        <f t="shared" ca="1" si="0"/>
        <v>#NAME?</v>
      </c>
      <c r="G43" s="15" t="e">
        <f t="shared" ca="1" si="1"/>
        <v>#NAME?</v>
      </c>
    </row>
    <row r="44" spans="1:7" x14ac:dyDescent="0.2">
      <c r="A44" t="s">
        <v>40</v>
      </c>
      <c r="B44" t="s">
        <v>40</v>
      </c>
      <c r="C44" s="13" t="e">
        <f ca="1">nullrep(FM1_Mother!J55)+nullrep('FM3_Child A'!J55)</f>
        <v>#NAME?</v>
      </c>
      <c r="D44" s="12" t="e">
        <f ca="1">IF(C44&lt;&gt;0,C44+(ROWS(C$2:C44)/1000*(C44&lt;&gt;0)),"")</f>
        <v>#NAME?</v>
      </c>
      <c r="E44" s="12" t="e">
        <f ca="1">MATCH(SMALL(D:D,COUNTIF(D:D,0)+ROWS(D$2:D44)),D:D,0)</f>
        <v>#NAME?</v>
      </c>
      <c r="F44" s="14" t="e">
        <f t="shared" ca="1" si="0"/>
        <v>#NAME?</v>
      </c>
      <c r="G44" s="15" t="e">
        <f ca="1">OFFSET($B$1,E44-1,0,1,1)</f>
        <v>#NAME?</v>
      </c>
    </row>
    <row r="45" spans="1:7" x14ac:dyDescent="0.2">
      <c r="A45" t="s">
        <v>42</v>
      </c>
      <c r="B45" t="s">
        <v>42</v>
      </c>
      <c r="C45" s="13" t="e">
        <f ca="1">nullrep(FM1_Mother!J56)+nullrep('FM3_Child A'!J56)</f>
        <v>#NAME?</v>
      </c>
      <c r="D45" s="12" t="e">
        <f ca="1">IF(C45&lt;&gt;0,C45+(ROWS(C$2:C45)/1000*(C45&lt;&gt;0)),"")</f>
        <v>#NAME?</v>
      </c>
      <c r="E45" s="12" t="e">
        <f ca="1">MATCH(SMALL(D:D,COUNTIF(D:D,0)+ROWS(D$2:D45)),D:D,0)</f>
        <v>#NAME?</v>
      </c>
      <c r="F45" s="14" t="e">
        <f t="shared" ca="1" si="0"/>
        <v>#NAME?</v>
      </c>
      <c r="G45" s="15" t="e">
        <f t="shared" ca="1" si="1"/>
        <v>#NAME?</v>
      </c>
    </row>
    <row r="46" spans="1:7" x14ac:dyDescent="0.2">
      <c r="A46" t="s">
        <v>44</v>
      </c>
      <c r="B46" t="s">
        <v>44</v>
      </c>
      <c r="C46" s="13" t="e">
        <f ca="1">nullrep(FM1_Mother!J57)+nullrep('FM3_Child A'!J57)</f>
        <v>#NAME?</v>
      </c>
      <c r="D46" s="12" t="e">
        <f ca="1">IF(C46&lt;&gt;0,C46+(ROWS(C$2:C46)/1000*(C46&lt;&gt;0)),"")</f>
        <v>#NAME?</v>
      </c>
      <c r="E46" s="12" t="e">
        <f ca="1">MATCH(SMALL(D:D,COUNTIF(D:D,0)+ROWS(D$2:D46)),D:D,0)</f>
        <v>#NAME?</v>
      </c>
      <c r="F46" s="14" t="e">
        <f t="shared" ca="1" si="0"/>
        <v>#NAME?</v>
      </c>
      <c r="G46" s="15" t="e">
        <f t="shared" ca="1" si="1"/>
        <v>#NAME?</v>
      </c>
    </row>
    <row r="47" spans="1:7" x14ac:dyDescent="0.2">
      <c r="A47" t="s">
        <v>162</v>
      </c>
      <c r="B47" t="s">
        <v>162</v>
      </c>
      <c r="C47" s="13" t="e">
        <f ca="1">nullrep(FM1_Mother!J58)+nullrep('FM3_Child A'!J58)</f>
        <v>#NAME?</v>
      </c>
      <c r="D47" s="12" t="e">
        <f ca="1">IF(C47&lt;&gt;0,C47+(ROWS(C$2:C47)/1000*(C47&lt;&gt;0)),"")</f>
        <v>#NAME?</v>
      </c>
      <c r="E47" s="12" t="e">
        <f ca="1">MATCH(SMALL(D:D,COUNTIF(D:D,0)+ROWS(D$2:D47)),D:D,0)</f>
        <v>#NAME?</v>
      </c>
      <c r="F47" s="14" t="e">
        <f t="shared" ca="1" si="0"/>
        <v>#NAME?</v>
      </c>
      <c r="G47" s="15" t="e">
        <f t="shared" ca="1" si="1"/>
        <v>#NAME?</v>
      </c>
    </row>
    <row r="48" spans="1:7" x14ac:dyDescent="0.2">
      <c r="A48" t="s">
        <v>319</v>
      </c>
      <c r="B48" t="s">
        <v>319</v>
      </c>
      <c r="C48" s="13" t="e">
        <f ca="1">nullrep(FM1_Mother!J59)+nullrep('FM3_Child A'!J59)</f>
        <v>#NAME?</v>
      </c>
      <c r="D48" s="12" t="e">
        <f ca="1">IF(C48&lt;&gt;0,C48+(ROWS(C$2:C48)/1000*(C48&lt;&gt;0)),"")</f>
        <v>#NAME?</v>
      </c>
      <c r="E48" s="12" t="e">
        <f ca="1">MATCH(SMALL(D:D,COUNTIF(D:D,0)+ROWS(D$2:D48)),D:D,0)</f>
        <v>#NAME?</v>
      </c>
      <c r="F48" s="14" t="e">
        <f t="shared" ca="1" si="0"/>
        <v>#NAME?</v>
      </c>
      <c r="G48" s="15" t="e">
        <f t="shared" ca="1" si="1"/>
        <v>#NAME?</v>
      </c>
    </row>
    <row r="49" spans="1:7" x14ac:dyDescent="0.2">
      <c r="A49" t="s">
        <v>45</v>
      </c>
      <c r="B49" t="s">
        <v>45</v>
      </c>
      <c r="C49" s="13" t="e">
        <f ca="1">nullrep(FM1_Mother!J60)+nullrep('FM3_Child A'!J60)</f>
        <v>#NAME?</v>
      </c>
      <c r="D49" s="12" t="e">
        <f ca="1">IF(C49&lt;&gt;0,C49+(ROWS(C$2:C49)/1000*(C49&lt;&gt;0)),"")</f>
        <v>#NAME?</v>
      </c>
      <c r="E49" s="12" t="e">
        <f ca="1">MATCH(SMALL(D:D,COUNTIF(D:D,0)+ROWS(D$2:D49)),D:D,0)</f>
        <v>#NAME?</v>
      </c>
      <c r="F49" s="14" t="e">
        <f t="shared" ca="1" si="0"/>
        <v>#NAME?</v>
      </c>
      <c r="G49" s="15" t="e">
        <f t="shared" ca="1" si="1"/>
        <v>#NAME?</v>
      </c>
    </row>
    <row r="50" spans="1:7" x14ac:dyDescent="0.2">
      <c r="A50" t="s">
        <v>228</v>
      </c>
      <c r="B50" t="s">
        <v>228</v>
      </c>
      <c r="C50" s="13" t="e">
        <f ca="1">nullrep(FM1_Mother!J61)+nullrep('FM3_Child A'!J61)</f>
        <v>#NAME?</v>
      </c>
      <c r="D50" s="12" t="e">
        <f ca="1">IF(C50&lt;&gt;0,C50+(ROWS(C$2:C50)/1000*(C50&lt;&gt;0)),"")</f>
        <v>#NAME?</v>
      </c>
      <c r="E50" s="12" t="e">
        <f ca="1">MATCH(SMALL(D:D,COUNTIF(D:D,0)+ROWS(D$2:D50)),D:D,0)</f>
        <v>#NAME?</v>
      </c>
      <c r="F50" s="14" t="e">
        <f t="shared" ca="1" si="0"/>
        <v>#NAME?</v>
      </c>
      <c r="G50" s="15" t="e">
        <f t="shared" ca="1" si="1"/>
        <v>#NAME?</v>
      </c>
    </row>
    <row r="51" spans="1:7" x14ac:dyDescent="0.2">
      <c r="A51" t="s">
        <v>47</v>
      </c>
      <c r="B51" t="s">
        <v>47</v>
      </c>
      <c r="C51" s="13" t="e">
        <f ca="1">nullrep(FM1_Mother!J62)+nullrep('FM3_Child A'!J62)</f>
        <v>#NAME?</v>
      </c>
      <c r="D51" s="12" t="e">
        <f ca="1">IF(C51&lt;&gt;0,C51+(ROWS(C$2:C51)/1000*(C51&lt;&gt;0)),"")</f>
        <v>#NAME?</v>
      </c>
      <c r="E51" s="12" t="e">
        <f ca="1">MATCH(SMALL(D:D,COUNTIF(D:D,0)+ROWS(D$2:D51)),D:D,0)</f>
        <v>#NAME?</v>
      </c>
      <c r="F51" s="14" t="e">
        <f t="shared" ca="1" si="0"/>
        <v>#NAME?</v>
      </c>
      <c r="G51" s="15" t="e">
        <f t="shared" ca="1" si="1"/>
        <v>#NAME?</v>
      </c>
    </row>
    <row r="52" spans="1:7" x14ac:dyDescent="0.2">
      <c r="A52" t="s">
        <v>48</v>
      </c>
      <c r="B52" t="s">
        <v>48</v>
      </c>
      <c r="C52" s="13" t="e">
        <f ca="1">nullrep(FM1_Mother!J63)+nullrep('FM3_Child A'!J63)</f>
        <v>#NAME?</v>
      </c>
      <c r="D52" s="12" t="e">
        <f ca="1">IF(C52&lt;&gt;0,C52+(ROWS(C$2:C52)/1000*(C52&lt;&gt;0)),"")</f>
        <v>#NAME?</v>
      </c>
      <c r="E52" s="12" t="e">
        <f ca="1">MATCH(SMALL(D:D,COUNTIF(D:D,0)+ROWS(D$2:D52)),D:D,0)</f>
        <v>#NAME?</v>
      </c>
      <c r="F52" s="14" t="e">
        <f t="shared" ca="1" si="0"/>
        <v>#NAME?</v>
      </c>
      <c r="G52" s="15" t="e">
        <f t="shared" ca="1" si="1"/>
        <v>#NAME?</v>
      </c>
    </row>
    <row r="53" spans="1:7" x14ac:dyDescent="0.2">
      <c r="A53" t="s">
        <v>49</v>
      </c>
      <c r="B53" t="s">
        <v>49</v>
      </c>
      <c r="C53" s="13" t="e">
        <f ca="1">nullrep(FM1_Mother!J64)+nullrep('FM3_Child A'!J64)</f>
        <v>#NAME?</v>
      </c>
      <c r="D53" s="12" t="e">
        <f ca="1">IF(C53&lt;&gt;0,C53+(ROWS(C$2:C53)/1000*(C53&lt;&gt;0)),"")</f>
        <v>#NAME?</v>
      </c>
      <c r="E53" s="12" t="e">
        <f ca="1">MATCH(SMALL(D:D,COUNTIF(D:D,0)+ROWS(D$2:D53)),D:D,0)</f>
        <v>#NAME?</v>
      </c>
      <c r="F53" s="14" t="e">
        <f t="shared" ca="1" si="0"/>
        <v>#NAME?</v>
      </c>
      <c r="G53" s="15" t="e">
        <f t="shared" ca="1" si="1"/>
        <v>#NAME?</v>
      </c>
    </row>
    <row r="54" spans="1:7" x14ac:dyDescent="0.2">
      <c r="A54" t="s">
        <v>231</v>
      </c>
      <c r="B54" t="s">
        <v>231</v>
      </c>
      <c r="C54" s="13" t="e">
        <f ca="1">nullrep(FM1_Mother!J65)+nullrep('FM3_Child A'!J65)</f>
        <v>#NAME?</v>
      </c>
      <c r="D54" s="12" t="e">
        <f ca="1">IF(C54&lt;&gt;0,C54+(ROWS(C$2:C54)/1000*(C54&lt;&gt;0)),"")</f>
        <v>#NAME?</v>
      </c>
      <c r="E54" s="12" t="e">
        <f ca="1">MATCH(SMALL(D:D,COUNTIF(D:D,0)+ROWS(D$2:D54)),D:D,0)</f>
        <v>#NAME?</v>
      </c>
      <c r="F54" s="14" t="e">
        <f t="shared" ca="1" si="0"/>
        <v>#NAME?</v>
      </c>
      <c r="G54" s="15" t="e">
        <f t="shared" ca="1" si="1"/>
        <v>#NAME?</v>
      </c>
    </row>
    <row r="55" spans="1:7" x14ac:dyDescent="0.2">
      <c r="A55" t="s">
        <v>50</v>
      </c>
      <c r="B55" t="s">
        <v>50</v>
      </c>
      <c r="C55" s="13" t="e">
        <f ca="1">nullrep(FM1_Mother!J66)+nullrep('FM3_Child A'!J66)</f>
        <v>#NAME?</v>
      </c>
      <c r="D55" s="12" t="e">
        <f ca="1">IF(C55&lt;&gt;0,C55+(ROWS(C$2:C55)/1000*(C55&lt;&gt;0)),"")</f>
        <v>#NAME?</v>
      </c>
      <c r="E55" s="12" t="e">
        <f ca="1">MATCH(SMALL(D:D,COUNTIF(D:D,0)+ROWS(D$2:D55)),D:D,0)</f>
        <v>#NAME?</v>
      </c>
      <c r="F55" s="14" t="e">
        <f t="shared" ca="1" si="0"/>
        <v>#NAME?</v>
      </c>
      <c r="G55" s="15" t="e">
        <f t="shared" ca="1" si="1"/>
        <v>#NAME?</v>
      </c>
    </row>
    <row r="56" spans="1:7" x14ac:dyDescent="0.2">
      <c r="A56" t="s">
        <v>170</v>
      </c>
      <c r="B56" t="s">
        <v>170</v>
      </c>
      <c r="C56" s="13" t="e">
        <f ca="1">nullrep(FM1_Mother!J67)+nullrep('FM3_Child A'!J67)</f>
        <v>#NAME?</v>
      </c>
      <c r="D56" s="12" t="e">
        <f ca="1">IF(C56&lt;&gt;0,C56+(ROWS(C$2:C56)/1000*(C56&lt;&gt;0)),"")</f>
        <v>#NAME?</v>
      </c>
      <c r="E56" s="12" t="e">
        <f ca="1">MATCH(SMALL(D:D,COUNTIF(D:D,0)+ROWS(D$2:D56)),D:D,0)</f>
        <v>#NAME?</v>
      </c>
      <c r="F56" s="14" t="e">
        <f t="shared" ca="1" si="0"/>
        <v>#NAME?</v>
      </c>
      <c r="G56" s="15" t="e">
        <f t="shared" ca="1" si="1"/>
        <v>#NAME?</v>
      </c>
    </row>
    <row r="57" spans="1:7" x14ac:dyDescent="0.2">
      <c r="A57" t="s">
        <v>93</v>
      </c>
      <c r="B57" t="s">
        <v>320</v>
      </c>
      <c r="C57" s="13" t="e">
        <f ca="1">nullrep(FM1_Mother!J68)+nullrep('FM3_Child A'!J68)</f>
        <v>#NAME?</v>
      </c>
      <c r="D57" s="12" t="e">
        <f ca="1">IF(C57&lt;&gt;0,C57+(ROWS(C$2:C57)/1000*(C57&lt;&gt;0)),"")</f>
        <v>#NAME?</v>
      </c>
      <c r="E57" s="12" t="e">
        <f ca="1">MATCH(SMALL(D:D,COUNTIF(D:D,0)+ROWS(D$2:D57)),D:D,0)</f>
        <v>#NAME?</v>
      </c>
      <c r="F57" s="14" t="e">
        <f t="shared" ca="1" si="0"/>
        <v>#NAME?</v>
      </c>
      <c r="G57" s="15" t="e">
        <f t="shared" ca="1" si="1"/>
        <v>#NAME?</v>
      </c>
    </row>
    <row r="58" spans="1:7" x14ac:dyDescent="0.2">
      <c r="A58" t="s">
        <v>233</v>
      </c>
      <c r="B58" t="s">
        <v>321</v>
      </c>
      <c r="C58" s="13" t="e">
        <f ca="1">nullrep(FM1_Mother!J69)+nullrep('FM3_Child A'!J69)</f>
        <v>#NAME?</v>
      </c>
      <c r="D58" s="12" t="e">
        <f ca="1">IF(C58&lt;&gt;0,C58+(ROWS(C$2:C58)/1000*(C58&lt;&gt;0)),"")</f>
        <v>#NAME?</v>
      </c>
      <c r="E58" s="12" t="e">
        <f ca="1">MATCH(SMALL(D:D,COUNTIF(D:D,0)+ROWS(D$2:D58)),D:D,0)</f>
        <v>#NAME?</v>
      </c>
      <c r="F58" s="14" t="e">
        <f t="shared" ca="1" si="0"/>
        <v>#NAME?</v>
      </c>
      <c r="G58" s="15" t="e">
        <f t="shared" ca="1" si="1"/>
        <v>#NAME?</v>
      </c>
    </row>
    <row r="59" spans="1:7" x14ac:dyDescent="0.2">
      <c r="A59" t="s">
        <v>234</v>
      </c>
      <c r="B59" t="s">
        <v>234</v>
      </c>
      <c r="C59" s="13" t="e">
        <f ca="1">nullrep(FM1_Mother!J70)+nullrep('FM3_Child A'!J70)</f>
        <v>#NAME?</v>
      </c>
      <c r="D59" s="12" t="e">
        <f ca="1">IF(C59&lt;&gt;0,C59+(ROWS(C$2:C59)/1000*(C59&lt;&gt;0)),"")</f>
        <v>#NAME?</v>
      </c>
      <c r="E59" s="12" t="e">
        <f ca="1">MATCH(SMALL(D:D,COUNTIF(D:D,0)+ROWS(D$2:D59)),D:D,0)</f>
        <v>#NAME?</v>
      </c>
      <c r="F59" s="14" t="e">
        <f t="shared" ca="1" si="0"/>
        <v>#NAME?</v>
      </c>
      <c r="G59" s="15" t="e">
        <f t="shared" ca="1" si="1"/>
        <v>#NAME?</v>
      </c>
    </row>
    <row r="60" spans="1:7" x14ac:dyDescent="0.2">
      <c r="A60" t="s">
        <v>88</v>
      </c>
      <c r="B60" t="s">
        <v>88</v>
      </c>
      <c r="C60" s="13" t="e">
        <f ca="1">nullrep(FM1_Mother!J73)+nullrep('FM3_Child A'!J73)</f>
        <v>#NAME?</v>
      </c>
      <c r="D60" s="12" t="e">
        <f ca="1">IF(C60&lt;&gt;0,C60+(ROWS(C$2:C60)/1000*(C60&lt;&gt;0)),"")</f>
        <v>#NAME?</v>
      </c>
      <c r="E60" s="12" t="e">
        <f ca="1">MATCH(SMALL(D:D,COUNTIF(D:D,0)+ROWS(D$2:D60)),D:D,0)</f>
        <v>#NAME?</v>
      </c>
      <c r="F60" s="14" t="e">
        <f t="shared" ca="1" si="0"/>
        <v>#NAME?</v>
      </c>
      <c r="G60" s="15" t="e">
        <f t="shared" ca="1" si="1"/>
        <v>#NAME?</v>
      </c>
    </row>
    <row r="61" spans="1:7" x14ac:dyDescent="0.2">
      <c r="A61" t="s">
        <v>236</v>
      </c>
      <c r="B61" t="s">
        <v>236</v>
      </c>
      <c r="C61" s="13" t="e">
        <f ca="1">nullrep(FM1_Mother!J74)+nullrep('FM3_Child A'!J74)</f>
        <v>#NAME?</v>
      </c>
      <c r="D61" s="12" t="e">
        <f ca="1">IF(C61&lt;&gt;0,C61+(ROWS(C$2:C61)/1000*(C61&lt;&gt;0)),"")</f>
        <v>#NAME?</v>
      </c>
      <c r="E61" s="12" t="e">
        <f ca="1">MATCH(SMALL(D:D,COUNTIF(D:D,0)+ROWS(D$2:D61)),D:D,0)</f>
        <v>#NAME?</v>
      </c>
      <c r="F61" s="14" t="e">
        <f t="shared" ca="1" si="0"/>
        <v>#NAME?</v>
      </c>
      <c r="G61" s="15" t="e">
        <f t="shared" ca="1" si="1"/>
        <v>#NAME?</v>
      </c>
    </row>
    <row r="62" spans="1:7" x14ac:dyDescent="0.2">
      <c r="A62" t="s">
        <v>55</v>
      </c>
      <c r="B62" t="s">
        <v>55</v>
      </c>
      <c r="C62" s="13" t="e">
        <f ca="1">nullrep(FM1_Mother!J75)+nullrep('FM3_Child A'!J75)</f>
        <v>#NAME?</v>
      </c>
      <c r="D62" s="12" t="e">
        <f ca="1">IF(C62&lt;&gt;0,C62+(ROWS(C$2:C62)/1000*(C62&lt;&gt;0)),"")</f>
        <v>#NAME?</v>
      </c>
      <c r="E62" s="12" t="e">
        <f ca="1">MATCH(SMALL(D:D,COUNTIF(D:D,0)+ROWS(D$2:D62)),D:D,0)</f>
        <v>#NAME?</v>
      </c>
      <c r="F62" s="14" t="e">
        <f t="shared" ca="1" si="0"/>
        <v>#NAME?</v>
      </c>
      <c r="G62" s="15" t="e">
        <f t="shared" ca="1" si="1"/>
        <v>#NAME?</v>
      </c>
    </row>
    <row r="63" spans="1:7" x14ac:dyDescent="0.2">
      <c r="A63" t="s">
        <v>237</v>
      </c>
      <c r="B63" t="s">
        <v>237</v>
      </c>
      <c r="C63" s="13" t="e">
        <f ca="1">nullrep(FM1_Mother!J76)+nullrep('FM3_Child A'!J76)</f>
        <v>#NAME?</v>
      </c>
      <c r="D63" s="12" t="e">
        <f ca="1">IF(C63&lt;&gt;0,C63+(ROWS(C$2:C63)/1000*(C63&lt;&gt;0)),"")</f>
        <v>#NAME?</v>
      </c>
      <c r="E63" s="12" t="e">
        <f ca="1">MATCH(SMALL(D:D,COUNTIF(D:D,0)+ROWS(D$2:D63)),D:D,0)</f>
        <v>#NAME?</v>
      </c>
      <c r="F63" s="14" t="e">
        <f t="shared" ca="1" si="0"/>
        <v>#NAME?</v>
      </c>
      <c r="G63" s="15" t="e">
        <f t="shared" ca="1" si="1"/>
        <v>#NAME?</v>
      </c>
    </row>
    <row r="64" spans="1:7" x14ac:dyDescent="0.2">
      <c r="A64" t="s">
        <v>166</v>
      </c>
      <c r="B64" t="s">
        <v>166</v>
      </c>
      <c r="C64" s="13" t="e">
        <f ca="1">nullrep(FM1_Mother!J77)+nullrep('FM3_Child A'!J77)</f>
        <v>#NAME?</v>
      </c>
      <c r="D64" s="12" t="e">
        <f ca="1">IF(C64&lt;&gt;0,C64+(ROWS(C$2:C64)/1000*(C64&lt;&gt;0)),"")</f>
        <v>#NAME?</v>
      </c>
      <c r="E64" s="12" t="e">
        <f ca="1">MATCH(SMALL(D:D,COUNTIF(D:D,0)+ROWS(D$2:D64)),D:D,0)</f>
        <v>#NAME?</v>
      </c>
      <c r="F64" s="14" t="e">
        <f t="shared" ca="1" si="0"/>
        <v>#NAME?</v>
      </c>
      <c r="G64" s="15" t="e">
        <f t="shared" ca="1" si="1"/>
        <v>#NAME?</v>
      </c>
    </row>
    <row r="65" spans="1:7" x14ac:dyDescent="0.2">
      <c r="A65" t="s">
        <v>57</v>
      </c>
      <c r="B65" t="s">
        <v>57</v>
      </c>
      <c r="C65" s="13" t="e">
        <f ca="1">nullrep(FM1_Mother!J80)+nullrep('FM3_Child A'!J80)</f>
        <v>#NAME?</v>
      </c>
      <c r="D65" s="12" t="e">
        <f ca="1">IF(C65&lt;&gt;0,C65+(ROWS(C$2:C65)/1000*(C65&lt;&gt;0)),"")</f>
        <v>#NAME?</v>
      </c>
      <c r="E65" s="12" t="e">
        <f ca="1">MATCH(SMALL(D:D,COUNTIF(D:D,0)+ROWS(D$2:D65)),D:D,0)</f>
        <v>#NAME?</v>
      </c>
      <c r="F65" s="14" t="e">
        <f t="shared" ca="1" si="0"/>
        <v>#NAME?</v>
      </c>
      <c r="G65" s="15" t="e">
        <f t="shared" ca="1" si="1"/>
        <v>#NAME?</v>
      </c>
    </row>
    <row r="66" spans="1:7" x14ac:dyDescent="0.2">
      <c r="A66" t="s">
        <v>59</v>
      </c>
      <c r="B66" t="s">
        <v>59</v>
      </c>
      <c r="C66" s="13" t="e">
        <f ca="1">nullrep(FM1_Mother!J81)+nullrep('FM3_Child A'!J81)</f>
        <v>#NAME?</v>
      </c>
      <c r="D66" s="12" t="e">
        <f ca="1">IF(C66&lt;&gt;0,C66+(ROWS(C$2:C66)/1000*(C66&lt;&gt;0)),"")</f>
        <v>#NAME?</v>
      </c>
      <c r="E66" s="12" t="e">
        <f ca="1">MATCH(SMALL(D:D,COUNTIF(D:D,0)+ROWS(D$2:D66)),D:D,0)</f>
        <v>#NAME?</v>
      </c>
      <c r="F66" s="14" t="e">
        <f t="shared" ca="1" si="0"/>
        <v>#NAME?</v>
      </c>
      <c r="G66" s="15" t="e">
        <f t="shared" ca="1" si="1"/>
        <v>#NAME?</v>
      </c>
    </row>
    <row r="67" spans="1:7" x14ac:dyDescent="0.2">
      <c r="A67" t="s">
        <v>60</v>
      </c>
      <c r="B67" t="s">
        <v>60</v>
      </c>
      <c r="C67" s="13" t="e">
        <f ca="1">nullrep(FM1_Mother!J82)+nullrep('FM3_Child A'!J82)</f>
        <v>#NAME?</v>
      </c>
      <c r="D67" s="12" t="e">
        <f ca="1">IF(C67&lt;&gt;0,C67+(ROWS(C$2:C67)/1000*(C67&lt;&gt;0)),"")</f>
        <v>#NAME?</v>
      </c>
      <c r="E67" s="12" t="e">
        <f ca="1">MATCH(SMALL(D:D,COUNTIF(D:D,0)+ROWS(D$2:D67)),D:D,0)</f>
        <v>#NAME?</v>
      </c>
      <c r="F67" s="14" t="e">
        <f t="shared" ca="1" si="0"/>
        <v>#NAME?</v>
      </c>
      <c r="G67" s="15" t="e">
        <f t="shared" ca="1" si="1"/>
        <v>#NAME?</v>
      </c>
    </row>
    <row r="68" spans="1:7" x14ac:dyDescent="0.2">
      <c r="A68" t="s">
        <v>61</v>
      </c>
      <c r="B68" t="s">
        <v>61</v>
      </c>
      <c r="C68" s="13" t="e">
        <f ca="1">nullrep(FM1_Mother!J83)+nullrep('FM3_Child A'!J83)</f>
        <v>#NAME?</v>
      </c>
      <c r="D68" s="12" t="e">
        <f ca="1">IF(C68&lt;&gt;0,C68+(ROWS(C$2:C68)/1000*(C68&lt;&gt;0)),"")</f>
        <v>#NAME?</v>
      </c>
      <c r="E68" s="12" t="e">
        <f ca="1">MATCH(SMALL(D:D,COUNTIF(D:D,0)+ROWS(D$2:D68)),D:D,0)</f>
        <v>#NAME?</v>
      </c>
      <c r="F68" s="14" t="e">
        <f t="shared" ca="1" si="0"/>
        <v>#NAME?</v>
      </c>
      <c r="G68" s="15" t="e">
        <f t="shared" ca="1" si="1"/>
        <v>#NAME?</v>
      </c>
    </row>
    <row r="69" spans="1:7" x14ac:dyDescent="0.2">
      <c r="A69" t="s">
        <v>63</v>
      </c>
      <c r="B69" t="s">
        <v>63</v>
      </c>
      <c r="C69" s="13" t="e">
        <f ca="1">nullrep(FM1_Mother!J84)+nullrep('FM3_Child A'!J84)</f>
        <v>#NAME?</v>
      </c>
      <c r="D69" s="12" t="e">
        <f ca="1">IF(C69&lt;&gt;0,C69+(ROWS(C$2:C69)/1000*(C69&lt;&gt;0)),"")</f>
        <v>#NAME?</v>
      </c>
      <c r="E69" s="12" t="e">
        <f ca="1">MATCH(SMALL(D:D,COUNTIF(D:D,0)+ROWS(D$2:D69)),D:D,0)</f>
        <v>#NAME?</v>
      </c>
      <c r="F69" s="14" t="e">
        <f t="shared" ca="1" si="0"/>
        <v>#NAME?</v>
      </c>
      <c r="G69" s="15" t="e">
        <f t="shared" ca="1" si="1"/>
        <v>#NAME?</v>
      </c>
    </row>
    <row r="70" spans="1:7" x14ac:dyDescent="0.2">
      <c r="A70" t="s">
        <v>64</v>
      </c>
      <c r="B70" t="s">
        <v>64</v>
      </c>
      <c r="C70" s="13" t="e">
        <f ca="1">nullrep(FM1_Mother!J85)+nullrep('FM3_Child A'!J85)</f>
        <v>#NAME?</v>
      </c>
      <c r="D70" s="12" t="e">
        <f ca="1">IF(C70&lt;&gt;0,C70+(ROWS(C$2:C70)/1000*(C70&lt;&gt;0)),"")</f>
        <v>#NAME?</v>
      </c>
      <c r="E70" s="12" t="e">
        <f ca="1">MATCH(SMALL(D:D,COUNTIF(D:D,0)+ROWS(D$2:D70)),D:D,0)</f>
        <v>#NAME?</v>
      </c>
      <c r="F70" s="14" t="e">
        <f t="shared" ref="F70:F123" ca="1" si="2">OFFSET($B$1,E70-1,1,1,1)</f>
        <v>#NAME?</v>
      </c>
      <c r="G70" s="15" t="e">
        <f t="shared" ref="G70:G123" ca="1" si="3">OFFSET($B$1,E70-1,0,1,1)</f>
        <v>#NAME?</v>
      </c>
    </row>
    <row r="71" spans="1:7" x14ac:dyDescent="0.2">
      <c r="A71" t="s">
        <v>65</v>
      </c>
      <c r="B71" t="s">
        <v>65</v>
      </c>
      <c r="C71" s="13" t="e">
        <f ca="1">nullrep(FM1_Mother!J86)+nullrep('FM3_Child A'!J86)</f>
        <v>#NAME?</v>
      </c>
      <c r="D71" s="12" t="e">
        <f ca="1">IF(C71&lt;&gt;0,C71+(ROWS(C$2:C71)/1000*(C71&lt;&gt;0)),"")</f>
        <v>#NAME?</v>
      </c>
      <c r="E71" s="12" t="e">
        <f ca="1">MATCH(SMALL(D:D,COUNTIF(D:D,0)+ROWS(D$2:D71)),D:D,0)</f>
        <v>#NAME?</v>
      </c>
      <c r="F71" s="14" t="e">
        <f t="shared" ca="1" si="2"/>
        <v>#NAME?</v>
      </c>
      <c r="G71" s="15" t="e">
        <f t="shared" ca="1" si="3"/>
        <v>#NAME?</v>
      </c>
    </row>
    <row r="72" spans="1:7" x14ac:dyDescent="0.2">
      <c r="A72" t="s">
        <v>200</v>
      </c>
      <c r="B72" t="s">
        <v>202</v>
      </c>
      <c r="C72" s="13" t="e">
        <f ca="1">nullrep(FM1_Mother!J87)+nullrep('FM3_Child A'!J87)</f>
        <v>#NAME?</v>
      </c>
      <c r="D72" s="12" t="e">
        <f ca="1">IF(C72&lt;&gt;0,C72+(ROWS(C$2:C72)/1000*(C72&lt;&gt;0)),"")</f>
        <v>#NAME?</v>
      </c>
      <c r="E72" s="12" t="e">
        <f ca="1">MATCH(SMALL(D:D,COUNTIF(D:D,0)+ROWS(D$2:D72)),D:D,0)</f>
        <v>#NAME?</v>
      </c>
      <c r="F72" s="14" t="e">
        <f t="shared" ca="1" si="2"/>
        <v>#NAME?</v>
      </c>
      <c r="G72" s="15" t="e">
        <f t="shared" ca="1" si="3"/>
        <v>#NAME?</v>
      </c>
    </row>
    <row r="73" spans="1:7" x14ac:dyDescent="0.2">
      <c r="A73" t="s">
        <v>201</v>
      </c>
      <c r="B73" t="s">
        <v>203</v>
      </c>
      <c r="C73" s="13" t="e">
        <f ca="1">nullrep(FM1_Mother!J88)+nullrep('FM3_Child A'!J88)</f>
        <v>#NAME?</v>
      </c>
      <c r="D73" s="12" t="e">
        <f ca="1">IF(C73&lt;&gt;0,C73+(ROWS(C$2:C73)/1000*(C73&lt;&gt;0)),"")</f>
        <v>#NAME?</v>
      </c>
      <c r="E73" s="12" t="e">
        <f ca="1">MATCH(SMALL(D:D,COUNTIF(D:D,0)+ROWS(D$2:D73)),D:D,0)</f>
        <v>#NAME?</v>
      </c>
      <c r="F73" s="14" t="e">
        <f t="shared" ca="1" si="2"/>
        <v>#NAME?</v>
      </c>
      <c r="G73" s="15" t="e">
        <f t="shared" ca="1" si="3"/>
        <v>#NAME?</v>
      </c>
    </row>
    <row r="74" spans="1:7" ht="13.5" thickBot="1" x14ac:dyDescent="0.25">
      <c r="A74" s="72" t="s">
        <v>138</v>
      </c>
      <c r="B74" s="72" t="s">
        <v>138</v>
      </c>
      <c r="C74" s="73" t="e">
        <f ca="1">nullrep(FM1_Mother!J89)+nullrep('FM3_Child A'!J89)</f>
        <v>#NAME?</v>
      </c>
      <c r="D74" s="74" t="e">
        <f ca="1">IF(C74&lt;&gt;0,C74+(ROWS(C$2:C74)/1000*(C74&lt;&gt;0)),"")</f>
        <v>#NAME?</v>
      </c>
      <c r="E74" s="74" t="e">
        <f ca="1">MATCH(SMALL(D:D,COUNTIF(D:D,0)+ROWS(D$2:D74)),D:D,0)</f>
        <v>#NAME?</v>
      </c>
      <c r="F74" s="75" t="e">
        <f t="shared" ca="1" si="2"/>
        <v>#NAME?</v>
      </c>
      <c r="G74" s="66" t="e">
        <f t="shared" ca="1" si="3"/>
        <v>#NAME?</v>
      </c>
    </row>
    <row r="75" spans="1:7" x14ac:dyDescent="0.2">
      <c r="A75" s="307"/>
      <c r="B75">
        <f>cust_start</f>
        <v>0</v>
      </c>
      <c r="C75" s="13" t="e">
        <f ca="1">nullrep(FM1_Mother!J97)+nullrep('FM3_Child A'!J97)</f>
        <v>#NAME?</v>
      </c>
      <c r="D75" s="12" t="e">
        <f ca="1">IF(C75&lt;&gt;0,C75+(ROWS(C$2:C75)/1000*(C75&lt;&gt;0)),"")</f>
        <v>#NAME?</v>
      </c>
      <c r="E75" s="12" t="e">
        <f ca="1">MATCH(SMALL(D:D,COUNTIF(D:D,0)+ROWS(D$2:D75)),D:D,0)</f>
        <v>#NAME?</v>
      </c>
      <c r="F75" s="14" t="e">
        <f t="shared" ca="1" si="2"/>
        <v>#NAME?</v>
      </c>
      <c r="G75" s="15" t="e">
        <f t="shared" ca="1" si="3"/>
        <v>#NAME?</v>
      </c>
    </row>
    <row r="76" spans="1:7" x14ac:dyDescent="0.2">
      <c r="B76">
        <f t="shared" ref="B76:B94" si="4">A76</f>
        <v>0</v>
      </c>
      <c r="C76" s="13" t="e">
        <f ca="1">nullrep(FM1_Mother!J98)+nullrep('FM3_Child A'!J98)</f>
        <v>#NAME?</v>
      </c>
      <c r="D76" s="12" t="e">
        <f ca="1">IF(C76&lt;&gt;0,C76+(ROWS(C$2:C76)/1000*(C76&lt;&gt;0)),"")</f>
        <v>#NAME?</v>
      </c>
      <c r="E76" s="12" t="e">
        <f ca="1">MATCH(SMALL(D:D,COUNTIF(D:D,0)+ROWS(D$2:D76)),D:D,0)</f>
        <v>#NAME?</v>
      </c>
      <c r="F76" s="14" t="e">
        <f t="shared" ca="1" si="2"/>
        <v>#NAME?</v>
      </c>
      <c r="G76" s="15" t="e">
        <f t="shared" ca="1" si="3"/>
        <v>#NAME?</v>
      </c>
    </row>
    <row r="77" spans="1:7" x14ac:dyDescent="0.2">
      <c r="B77">
        <f t="shared" si="4"/>
        <v>0</v>
      </c>
      <c r="C77" s="13" t="e">
        <f ca="1">nullrep(FM1_Mother!J99)+nullrep('FM3_Child A'!J99)</f>
        <v>#NAME?</v>
      </c>
      <c r="D77" s="12" t="e">
        <f ca="1">IF(C77&lt;&gt;0,C77+(ROWS(C$2:C77)/1000*(C77&lt;&gt;0)),"")</f>
        <v>#NAME?</v>
      </c>
      <c r="E77" s="12" t="e">
        <f ca="1">MATCH(SMALL(D:D,COUNTIF(D:D,0)+ROWS(D$2:D77)),D:D,0)</f>
        <v>#NAME?</v>
      </c>
      <c r="F77" s="14" t="e">
        <f t="shared" ca="1" si="2"/>
        <v>#NAME?</v>
      </c>
      <c r="G77" s="15" t="e">
        <f t="shared" ca="1" si="3"/>
        <v>#NAME?</v>
      </c>
    </row>
    <row r="78" spans="1:7" x14ac:dyDescent="0.2">
      <c r="B78">
        <f t="shared" si="4"/>
        <v>0</v>
      </c>
      <c r="C78" s="13" t="e">
        <f ca="1">nullrep(FM1_Mother!J100)+nullrep('FM3_Child A'!J100)</f>
        <v>#NAME?</v>
      </c>
      <c r="D78" s="12" t="e">
        <f ca="1">IF(C78&lt;&gt;0,C78+(ROWS(C$2:C78)/1000*(C78&lt;&gt;0)),"")</f>
        <v>#NAME?</v>
      </c>
      <c r="E78" s="12" t="e">
        <f ca="1">MATCH(SMALL(D:D,COUNTIF(D:D,0)+ROWS(D$2:D78)),D:D,0)</f>
        <v>#NAME?</v>
      </c>
      <c r="F78" s="14" t="e">
        <f t="shared" ca="1" si="2"/>
        <v>#NAME?</v>
      </c>
      <c r="G78" s="15" t="e">
        <f t="shared" ca="1" si="3"/>
        <v>#NAME?</v>
      </c>
    </row>
    <row r="79" spans="1:7" x14ac:dyDescent="0.2">
      <c r="B79">
        <f t="shared" si="4"/>
        <v>0</v>
      </c>
      <c r="C79" s="13" t="e">
        <f ca="1">nullrep(FM1_Mother!J101)+nullrep('FM3_Child A'!J101)</f>
        <v>#NAME?</v>
      </c>
      <c r="D79" s="12" t="e">
        <f ca="1">IF(C79&lt;&gt;0,C79+(ROWS(C$2:C79)/1000*(C79&lt;&gt;0)),"")</f>
        <v>#NAME?</v>
      </c>
      <c r="E79" s="12" t="e">
        <f ca="1">MATCH(SMALL(D:D,COUNTIF(D:D,0)+ROWS(D$2:D79)),D:D,0)</f>
        <v>#NAME?</v>
      </c>
      <c r="F79" s="14" t="e">
        <f t="shared" ca="1" si="2"/>
        <v>#NAME?</v>
      </c>
      <c r="G79" s="15" t="e">
        <f t="shared" ca="1" si="3"/>
        <v>#NAME?</v>
      </c>
    </row>
    <row r="80" spans="1:7" x14ac:dyDescent="0.2">
      <c r="B80">
        <f t="shared" si="4"/>
        <v>0</v>
      </c>
      <c r="C80" s="13" t="e">
        <f ca="1">nullrep(FM1_Mother!J102)+nullrep('FM3_Child A'!J102)</f>
        <v>#NAME?</v>
      </c>
      <c r="D80" s="12" t="e">
        <f ca="1">IF(C80&lt;&gt;0,C80+(ROWS(C$2:C80)/1000*(C80&lt;&gt;0)),"")</f>
        <v>#NAME?</v>
      </c>
      <c r="E80" s="12" t="e">
        <f ca="1">MATCH(SMALL(D:D,COUNTIF(D:D,0)+ROWS(D$2:D80)),D:D,0)</f>
        <v>#NAME?</v>
      </c>
      <c r="F80" s="14" t="e">
        <f t="shared" ca="1" si="2"/>
        <v>#NAME?</v>
      </c>
      <c r="G80" s="15" t="e">
        <f t="shared" ca="1" si="3"/>
        <v>#NAME?</v>
      </c>
    </row>
    <row r="81" spans="2:7" x14ac:dyDescent="0.2">
      <c r="B81">
        <f t="shared" si="4"/>
        <v>0</v>
      </c>
      <c r="C81" s="13" t="e">
        <f ca="1">nullrep(FM1_Mother!J103)+nullrep('FM3_Child A'!J103)</f>
        <v>#NAME?</v>
      </c>
      <c r="D81" s="12" t="e">
        <f ca="1">IF(C81&lt;&gt;0,C81+(ROWS(C$2:C81)/1000*(C81&lt;&gt;0)),"")</f>
        <v>#NAME?</v>
      </c>
      <c r="E81" s="12" t="e">
        <f ca="1">MATCH(SMALL(D:D,COUNTIF(D:D,0)+ROWS(D$2:D81)),D:D,0)</f>
        <v>#NAME?</v>
      </c>
      <c r="F81" s="14" t="e">
        <f t="shared" ca="1" si="2"/>
        <v>#NAME?</v>
      </c>
      <c r="G81" s="15" t="e">
        <f t="shared" ca="1" si="3"/>
        <v>#NAME?</v>
      </c>
    </row>
    <row r="82" spans="2:7" x14ac:dyDescent="0.2">
      <c r="B82">
        <f t="shared" si="4"/>
        <v>0</v>
      </c>
      <c r="C82" s="13" t="e">
        <f ca="1">nullrep(FM1_Mother!J104)+nullrep('FM3_Child A'!J104)</f>
        <v>#NAME?</v>
      </c>
      <c r="D82" s="12" t="e">
        <f ca="1">IF(C82&lt;&gt;0,C82+(ROWS(C$2:C82)/1000*(C82&lt;&gt;0)),"")</f>
        <v>#NAME?</v>
      </c>
      <c r="E82" s="12" t="e">
        <f ca="1">MATCH(SMALL(D:D,COUNTIF(D:D,0)+ROWS(D$2:D82)),D:D,0)</f>
        <v>#NAME?</v>
      </c>
      <c r="F82" s="14" t="e">
        <f t="shared" ca="1" si="2"/>
        <v>#NAME?</v>
      </c>
      <c r="G82" s="15" t="e">
        <f t="shared" ca="1" si="3"/>
        <v>#NAME?</v>
      </c>
    </row>
    <row r="83" spans="2:7" x14ac:dyDescent="0.2">
      <c r="B83">
        <f t="shared" si="4"/>
        <v>0</v>
      </c>
      <c r="C83" s="13" t="e">
        <f ca="1">nullrep(FM1_Mother!J105)+nullrep('FM3_Child A'!J105)</f>
        <v>#NAME?</v>
      </c>
      <c r="D83" s="12" t="e">
        <f ca="1">IF(C83&lt;&gt;0,C83+(ROWS(C$2:C83)/1000*(C83&lt;&gt;0)),"")</f>
        <v>#NAME?</v>
      </c>
      <c r="E83" s="12" t="e">
        <f ca="1">MATCH(SMALL(D:D,COUNTIF(D:D,0)+ROWS(D$2:D83)),D:D,0)</f>
        <v>#NAME?</v>
      </c>
      <c r="F83" s="14" t="e">
        <f t="shared" ca="1" si="2"/>
        <v>#NAME?</v>
      </c>
      <c r="G83" s="15" t="e">
        <f t="shared" ca="1" si="3"/>
        <v>#NAME?</v>
      </c>
    </row>
    <row r="84" spans="2:7" x14ac:dyDescent="0.2">
      <c r="B84">
        <f t="shared" si="4"/>
        <v>0</v>
      </c>
      <c r="C84" s="13" t="e">
        <f ca="1">nullrep(FM1_Mother!J106)+nullrep('FM3_Child A'!J106)</f>
        <v>#NAME?</v>
      </c>
      <c r="D84" s="12" t="e">
        <f ca="1">IF(C84&lt;&gt;0,C84+(ROWS(C$2:C84)/1000*(C84&lt;&gt;0)),"")</f>
        <v>#NAME?</v>
      </c>
      <c r="E84" s="12" t="e">
        <f ca="1">MATCH(SMALL(D:D,COUNTIF(D:D,0)+ROWS(D$2:D84)),D:D,0)</f>
        <v>#NAME?</v>
      </c>
      <c r="F84" s="14" t="e">
        <f t="shared" ca="1" si="2"/>
        <v>#NAME?</v>
      </c>
      <c r="G84" s="15" t="e">
        <f t="shared" ca="1" si="3"/>
        <v>#NAME?</v>
      </c>
    </row>
    <row r="85" spans="2:7" x14ac:dyDescent="0.2">
      <c r="B85">
        <f t="shared" si="4"/>
        <v>0</v>
      </c>
      <c r="C85" s="13" t="e">
        <f ca="1">nullrep([0]!sumextralines)+nullrep([0]!sumextralines)</f>
        <v>#NAME?</v>
      </c>
      <c r="D85" s="12" t="e">
        <f ca="1">IF(C85&lt;&gt;0,C85+(ROWS(C$2:C85)/1000*(C85&lt;&gt;0)),"")</f>
        <v>#NAME?</v>
      </c>
      <c r="E85" s="12" t="e">
        <f ca="1">MATCH(SMALL(D:D,COUNTIF(D:D,0)+ROWS(D$2:D85)),D:D,0)</f>
        <v>#NAME?</v>
      </c>
      <c r="F85" s="14" t="e">
        <f t="shared" ca="1" si="2"/>
        <v>#NAME?</v>
      </c>
      <c r="G85" s="15" t="e">
        <f t="shared" ca="1" si="3"/>
        <v>#NAME?</v>
      </c>
    </row>
    <row r="86" spans="2:7" x14ac:dyDescent="0.2">
      <c r="B86">
        <f t="shared" si="4"/>
        <v>0</v>
      </c>
      <c r="C86" s="13" t="e">
        <f ca="1">nullrep([0]!sumextralines)+nullrep([0]!sumextralines)</f>
        <v>#NAME?</v>
      </c>
      <c r="D86" s="12" t="e">
        <f ca="1">IF(C86&lt;&gt;0,C86+(ROWS(C$2:C86)/1000*(C86&lt;&gt;0)),"")</f>
        <v>#NAME?</v>
      </c>
      <c r="E86" s="12" t="e">
        <f ca="1">MATCH(SMALL(D:D,COUNTIF(D:D,0)+ROWS(D$2:D86)),D:D,0)</f>
        <v>#NAME?</v>
      </c>
      <c r="F86" s="14" t="e">
        <f t="shared" ca="1" si="2"/>
        <v>#NAME?</v>
      </c>
      <c r="G86" s="15" t="e">
        <f t="shared" ca="1" si="3"/>
        <v>#NAME?</v>
      </c>
    </row>
    <row r="87" spans="2:7" x14ac:dyDescent="0.2">
      <c r="B87">
        <f t="shared" si="4"/>
        <v>0</v>
      </c>
      <c r="C87" s="13" t="e">
        <f ca="1">nullrep([0]!sumextralines)+nullrep([0]!sumextralines)</f>
        <v>#NAME?</v>
      </c>
      <c r="D87" s="12" t="e">
        <f ca="1">IF(C87&lt;&gt;0,C87+(ROWS(C$2:C87)/1000*(C87&lt;&gt;0)),"")</f>
        <v>#NAME?</v>
      </c>
      <c r="E87" s="12" t="e">
        <f ca="1">MATCH(SMALL(D:D,COUNTIF(D:D,0)+ROWS(D$2:D87)),D:D,0)</f>
        <v>#NAME?</v>
      </c>
      <c r="F87" s="14" t="e">
        <f t="shared" ca="1" si="2"/>
        <v>#NAME?</v>
      </c>
      <c r="G87" s="15" t="e">
        <f t="shared" ca="1" si="3"/>
        <v>#NAME?</v>
      </c>
    </row>
    <row r="88" spans="2:7" x14ac:dyDescent="0.2">
      <c r="B88">
        <f t="shared" si="4"/>
        <v>0</v>
      </c>
      <c r="C88" s="13" t="e">
        <f ca="1">nullrep([0]!sumextralines)+nullrep([0]!sumextralines)</f>
        <v>#NAME?</v>
      </c>
      <c r="D88" s="12" t="e">
        <f ca="1">IF(C88&lt;&gt;0,C88+(ROWS(C$2:C88)/1000*(C88&lt;&gt;0)),"")</f>
        <v>#NAME?</v>
      </c>
      <c r="E88" s="12" t="e">
        <f ca="1">MATCH(SMALL(D:D,COUNTIF(D:D,0)+ROWS(D$2:D88)),D:D,0)</f>
        <v>#NAME?</v>
      </c>
      <c r="F88" s="14" t="e">
        <f t="shared" ca="1" si="2"/>
        <v>#NAME?</v>
      </c>
      <c r="G88" s="15" t="e">
        <f t="shared" ca="1" si="3"/>
        <v>#NAME?</v>
      </c>
    </row>
    <row r="89" spans="2:7" x14ac:dyDescent="0.2">
      <c r="B89">
        <f t="shared" si="4"/>
        <v>0</v>
      </c>
      <c r="C89" s="13" t="e">
        <f ca="1">nullrep([0]!sumextralines)+nullrep([0]!sumextralines)</f>
        <v>#NAME?</v>
      </c>
      <c r="D89" s="12" t="e">
        <f ca="1">IF(C89&lt;&gt;0,C89+(ROWS(C$2:C89)/1000*(C89&lt;&gt;0)),"")</f>
        <v>#NAME?</v>
      </c>
      <c r="E89" s="12" t="e">
        <f ca="1">MATCH(SMALL(D:D,COUNTIF(D:D,0)+ROWS(D$2:D89)),D:D,0)</f>
        <v>#NAME?</v>
      </c>
      <c r="F89" s="14" t="e">
        <f t="shared" ca="1" si="2"/>
        <v>#NAME?</v>
      </c>
      <c r="G89" s="15" t="e">
        <f t="shared" ca="1" si="3"/>
        <v>#NAME?</v>
      </c>
    </row>
    <row r="90" spans="2:7" x14ac:dyDescent="0.2">
      <c r="B90">
        <f t="shared" si="4"/>
        <v>0</v>
      </c>
      <c r="C90" s="13" t="e">
        <f ca="1">nullrep([0]!sumextralines)+nullrep([0]!sumextralines)</f>
        <v>#NAME?</v>
      </c>
      <c r="D90" s="12" t="e">
        <f ca="1">IF(C90&lt;&gt;0,C90+(ROWS(C$2:C90)/1000*(C90&lt;&gt;0)),"")</f>
        <v>#NAME?</v>
      </c>
      <c r="E90" s="12" t="e">
        <f ca="1">MATCH(SMALL(D:D,COUNTIF(D:D,0)+ROWS(D$2:D90)),D:D,0)</f>
        <v>#NAME?</v>
      </c>
      <c r="F90" s="14" t="e">
        <f t="shared" ca="1" si="2"/>
        <v>#NAME?</v>
      </c>
      <c r="G90" s="15" t="e">
        <f t="shared" ca="1" si="3"/>
        <v>#NAME?</v>
      </c>
    </row>
    <row r="91" spans="2:7" x14ac:dyDescent="0.2">
      <c r="B91">
        <f t="shared" si="4"/>
        <v>0</v>
      </c>
      <c r="C91" s="13" t="e">
        <f ca="1">nullrep([0]!sumextralines)+nullrep([0]!sumextralines)</f>
        <v>#NAME?</v>
      </c>
      <c r="D91" s="12" t="e">
        <f ca="1">IF(C91&lt;&gt;0,C91+(ROWS(C$2:C91)/1000*(C91&lt;&gt;0)),"")</f>
        <v>#NAME?</v>
      </c>
      <c r="E91" s="12" t="e">
        <f ca="1">MATCH(SMALL(D:D,COUNTIF(D:D,0)+ROWS(D$2:D91)),D:D,0)</f>
        <v>#NAME?</v>
      </c>
      <c r="F91" s="14" t="e">
        <f t="shared" ca="1" si="2"/>
        <v>#NAME?</v>
      </c>
      <c r="G91" s="15" t="e">
        <f t="shared" ca="1" si="3"/>
        <v>#NAME?</v>
      </c>
    </row>
    <row r="92" spans="2:7" x14ac:dyDescent="0.2">
      <c r="B92">
        <f t="shared" si="4"/>
        <v>0</v>
      </c>
      <c r="C92" s="13" t="e">
        <f ca="1">nullrep([0]!sumextralines)+nullrep([0]!sumextralines)</f>
        <v>#NAME?</v>
      </c>
      <c r="D92" s="12" t="e">
        <f ca="1">IF(C92&lt;&gt;0,C92+(ROWS(C$2:C92)/1000*(C92&lt;&gt;0)),"")</f>
        <v>#NAME?</v>
      </c>
      <c r="E92" s="12" t="e">
        <f ca="1">MATCH(SMALL(D:D,COUNTIF(D:D,0)+ROWS(D$2:D92)),D:D,0)</f>
        <v>#NAME?</v>
      </c>
      <c r="F92" s="14" t="e">
        <f t="shared" ca="1" si="2"/>
        <v>#NAME?</v>
      </c>
      <c r="G92" s="15" t="e">
        <f t="shared" ca="1" si="3"/>
        <v>#NAME?</v>
      </c>
    </row>
    <row r="93" spans="2:7" x14ac:dyDescent="0.2">
      <c r="B93">
        <f t="shared" si="4"/>
        <v>0</v>
      </c>
      <c r="C93" s="13" t="e">
        <f ca="1">nullrep([0]!sumextralines)+nullrep([0]!sumextralines)</f>
        <v>#NAME?</v>
      </c>
      <c r="D93" s="12" t="e">
        <f ca="1">IF(C93&lt;&gt;0,C93+(ROWS(C$2:C93)/1000*(C93&lt;&gt;0)),"")</f>
        <v>#NAME?</v>
      </c>
      <c r="E93" s="12" t="e">
        <f ca="1">MATCH(SMALL(D:D,COUNTIF(D:D,0)+ROWS(D$2:D93)),D:D,0)</f>
        <v>#NAME?</v>
      </c>
      <c r="F93" s="14" t="e">
        <f t="shared" ca="1" si="2"/>
        <v>#NAME?</v>
      </c>
      <c r="G93" s="15" t="e">
        <f t="shared" ca="1" si="3"/>
        <v>#NAME?</v>
      </c>
    </row>
    <row r="94" spans="2:7" x14ac:dyDescent="0.2">
      <c r="B94">
        <f t="shared" si="4"/>
        <v>0</v>
      </c>
      <c r="C94" s="13" t="e">
        <f ca="1">nullrep([0]!sumextralines)+nullrep([0]!sumextralines)</f>
        <v>#NAME?</v>
      </c>
      <c r="D94" s="12" t="e">
        <f ca="1">IF(C94&lt;&gt;0,C94+(ROWS(C$2:C94)/1000*(C94&lt;&gt;0)),"")</f>
        <v>#NAME?</v>
      </c>
      <c r="E94" s="12" t="e">
        <f ca="1">MATCH(SMALL(D:D,COUNTIF(D:D,0)+ROWS(D$2:D94)),D:D,0)</f>
        <v>#NAME?</v>
      </c>
      <c r="F94" s="14" t="e">
        <f t="shared" ca="1" si="2"/>
        <v>#NAME?</v>
      </c>
      <c r="G94" s="15" t="e">
        <f t="shared" ca="1" si="3"/>
        <v>#NAME?</v>
      </c>
    </row>
    <row r="95" spans="2:7" x14ac:dyDescent="0.2">
      <c r="C95" s="13" t="e">
        <f ca="1">nullrep([0]!sumextralines)+nullrep([0]!sumextralines)</f>
        <v>#NAME?</v>
      </c>
      <c r="D95" s="12" t="e">
        <f ca="1">IF(C95&lt;&gt;0,C95+(ROWS(C$2:C95)/1000*(C95&lt;&gt;0)),"")</f>
        <v>#NAME?</v>
      </c>
      <c r="E95" s="12" t="e">
        <f ca="1">MATCH(SMALL(D:D,COUNTIF(D:D,0)+ROWS(D$2:D95)),D:D,0)</f>
        <v>#NAME?</v>
      </c>
      <c r="F95" s="14" t="e">
        <f t="shared" ca="1" si="2"/>
        <v>#NAME?</v>
      </c>
      <c r="G95" s="15" t="e">
        <f t="shared" ca="1" si="3"/>
        <v>#NAME?</v>
      </c>
    </row>
    <row r="96" spans="2:7" x14ac:dyDescent="0.2">
      <c r="C96" s="13" t="e">
        <f ca="1">nullrep([0]!sumextralines)+nullrep([0]!sumextralines)</f>
        <v>#NAME?</v>
      </c>
      <c r="D96" s="12" t="e">
        <f ca="1">IF(C96&lt;&gt;0,C96+(ROWS(C$2:C96)/1000*(C96&lt;&gt;0)),"")</f>
        <v>#NAME?</v>
      </c>
      <c r="E96" s="12" t="e">
        <f ca="1">MATCH(SMALL(D:D,COUNTIF(D:D,0)+ROWS(D$2:D96)),D:D,0)</f>
        <v>#NAME?</v>
      </c>
      <c r="F96" s="14" t="e">
        <f t="shared" ca="1" si="2"/>
        <v>#NAME?</v>
      </c>
      <c r="G96" s="15" t="e">
        <f t="shared" ca="1" si="3"/>
        <v>#NAME?</v>
      </c>
    </row>
    <row r="97" spans="3:7" x14ac:dyDescent="0.2">
      <c r="C97" s="13" t="e">
        <f ca="1">nullrep([0]!sumextralines)+nullrep([0]!sumextralines)</f>
        <v>#NAME?</v>
      </c>
      <c r="D97" s="12" t="e">
        <f ca="1">IF(C97&lt;&gt;0,C97+(ROWS(C$2:C97)/1000*(C97&lt;&gt;0)),"")</f>
        <v>#NAME?</v>
      </c>
      <c r="E97" s="12" t="e">
        <f ca="1">MATCH(SMALL(D:D,COUNTIF(D:D,0)+ROWS(D$2:D97)),D:D,0)</f>
        <v>#NAME?</v>
      </c>
      <c r="F97" s="14" t="e">
        <f t="shared" ca="1" si="2"/>
        <v>#NAME?</v>
      </c>
      <c r="G97" s="15" t="e">
        <f t="shared" ca="1" si="3"/>
        <v>#NAME?</v>
      </c>
    </row>
    <row r="98" spans="3:7" x14ac:dyDescent="0.2">
      <c r="C98" s="13" t="e">
        <f ca="1">nullrep([0]!sumextralines)+nullrep([0]!sumextralines)</f>
        <v>#NAME?</v>
      </c>
      <c r="D98" s="12" t="e">
        <f ca="1">IF(C98&lt;&gt;0,C98+(ROWS(C$2:C98)/1000*(C98&lt;&gt;0)),"")</f>
        <v>#NAME?</v>
      </c>
      <c r="E98" s="12" t="e">
        <f ca="1">MATCH(SMALL(D:D,COUNTIF(D:D,0)+ROWS(D$2:D98)),D:D,0)</f>
        <v>#NAME?</v>
      </c>
      <c r="F98" s="14" t="e">
        <f t="shared" ca="1" si="2"/>
        <v>#NAME?</v>
      </c>
      <c r="G98" s="15" t="e">
        <f t="shared" ca="1" si="3"/>
        <v>#NAME?</v>
      </c>
    </row>
    <row r="99" spans="3:7" x14ac:dyDescent="0.2">
      <c r="C99" s="13" t="e">
        <f ca="1">nullrep([0]!sumextralines)+nullrep([0]!sumextralines)</f>
        <v>#NAME?</v>
      </c>
      <c r="D99" s="12" t="e">
        <f ca="1">IF(C99&lt;&gt;0,C99+(ROWS(C$2:C99)/1000*(C99&lt;&gt;0)),"")</f>
        <v>#NAME?</v>
      </c>
      <c r="E99" s="12" t="e">
        <f ca="1">MATCH(SMALL(D:D,COUNTIF(D:D,0)+ROWS(D$2:D99)),D:D,0)</f>
        <v>#NAME?</v>
      </c>
      <c r="F99" s="14" t="e">
        <f t="shared" ca="1" si="2"/>
        <v>#NAME?</v>
      </c>
      <c r="G99" s="15" t="e">
        <f t="shared" ca="1" si="3"/>
        <v>#NAME?</v>
      </c>
    </row>
    <row r="100" spans="3:7" x14ac:dyDescent="0.2">
      <c r="C100" s="13" t="e">
        <f ca="1">nullrep([0]!sumextralines)+nullrep([0]!sumextralines)</f>
        <v>#NAME?</v>
      </c>
      <c r="D100" s="12" t="e">
        <f ca="1">IF(C100&lt;&gt;0,C100+(ROWS(C$2:C100)/1000*(C100&lt;&gt;0)),"")</f>
        <v>#NAME?</v>
      </c>
      <c r="E100" s="12" t="e">
        <f ca="1">MATCH(SMALL(D:D,COUNTIF(D:D,0)+ROWS(D$2:D100)),D:D,0)</f>
        <v>#NAME?</v>
      </c>
      <c r="F100" s="14" t="e">
        <f t="shared" ca="1" si="2"/>
        <v>#NAME?</v>
      </c>
      <c r="G100" s="15" t="e">
        <f t="shared" ca="1" si="3"/>
        <v>#NAME?</v>
      </c>
    </row>
    <row r="101" spans="3:7" x14ac:dyDescent="0.2">
      <c r="C101" s="13" t="e">
        <f ca="1">nullrep([0]!sumextralines)+nullrep([0]!sumextralines)</f>
        <v>#NAME?</v>
      </c>
      <c r="D101" s="12" t="e">
        <f ca="1">IF(C101&lt;&gt;0,C101+(ROWS(C$2:C101)/1000*(C101&lt;&gt;0)),"")</f>
        <v>#NAME?</v>
      </c>
      <c r="E101" s="12" t="e">
        <f ca="1">MATCH(SMALL(D:D,COUNTIF(D:D,0)+ROWS(D$2:D101)),D:D,0)</f>
        <v>#NAME?</v>
      </c>
      <c r="F101" s="14" t="e">
        <f t="shared" ca="1" si="2"/>
        <v>#NAME?</v>
      </c>
      <c r="G101" s="15" t="e">
        <f t="shared" ca="1" si="3"/>
        <v>#NAME?</v>
      </c>
    </row>
    <row r="102" spans="3:7" x14ac:dyDescent="0.2">
      <c r="C102" s="13" t="e">
        <f ca="1">nullrep([0]!sumextralines)+nullrep([0]!sumextralines)</f>
        <v>#NAME?</v>
      </c>
      <c r="D102" s="12" t="e">
        <f ca="1">IF(C102&lt;&gt;0,C102+(ROWS(C$2:C102)/1000*(C102&lt;&gt;0)),"")</f>
        <v>#NAME?</v>
      </c>
      <c r="E102" s="12" t="e">
        <f ca="1">MATCH(SMALL(D:D,COUNTIF(D:D,0)+ROWS(D$2:D102)),D:D,0)</f>
        <v>#NAME?</v>
      </c>
      <c r="F102" s="14" t="e">
        <f t="shared" ca="1" si="2"/>
        <v>#NAME?</v>
      </c>
      <c r="G102" s="15" t="e">
        <f t="shared" ca="1" si="3"/>
        <v>#NAME?</v>
      </c>
    </row>
    <row r="103" spans="3:7" x14ac:dyDescent="0.2">
      <c r="C103" s="13" t="e">
        <f ca="1">nullrep([0]!sumextralines)+nullrep([0]!sumextralines)</f>
        <v>#NAME?</v>
      </c>
      <c r="D103" s="12" t="e">
        <f ca="1">IF(C103&lt;&gt;0,C103+(ROWS(C$2:C103)/1000*(C103&lt;&gt;0)),"")</f>
        <v>#NAME?</v>
      </c>
      <c r="E103" s="12" t="e">
        <f ca="1">MATCH(SMALL(D:D,COUNTIF(D:D,0)+ROWS(D$2:D103)),D:D,0)</f>
        <v>#NAME?</v>
      </c>
      <c r="F103" s="14" t="e">
        <f t="shared" ca="1" si="2"/>
        <v>#NAME?</v>
      </c>
      <c r="G103" s="15" t="e">
        <f t="shared" ca="1" si="3"/>
        <v>#NAME?</v>
      </c>
    </row>
    <row r="104" spans="3:7" x14ac:dyDescent="0.2">
      <c r="C104" s="13" t="e">
        <f ca="1">nullrep([0]!sumextralines)+nullrep([0]!sumextralines)</f>
        <v>#NAME?</v>
      </c>
      <c r="D104" s="12" t="e">
        <f ca="1">IF(C104&lt;&gt;0,C104+(ROWS(C$2:C104)/1000*(C104&lt;&gt;0)),"")</f>
        <v>#NAME?</v>
      </c>
      <c r="E104" s="12" t="e">
        <f ca="1">MATCH(SMALL(D:D,COUNTIF(D:D,0)+ROWS(D$2:D104)),D:D,0)</f>
        <v>#NAME?</v>
      </c>
      <c r="F104" s="14" t="e">
        <f t="shared" ca="1" si="2"/>
        <v>#NAME?</v>
      </c>
      <c r="G104" s="15" t="e">
        <f t="shared" ca="1" si="3"/>
        <v>#NAME?</v>
      </c>
    </row>
    <row r="105" spans="3:7" x14ac:dyDescent="0.2">
      <c r="C105" s="13" t="e">
        <f ca="1">nullrep([0]!sumextralines)+nullrep([0]!sumextralines)</f>
        <v>#NAME?</v>
      </c>
      <c r="D105" s="12" t="e">
        <f ca="1">IF(C105&lt;&gt;0,C105+(ROWS(C$2:C105)/1000*(C105&lt;&gt;0)),"")</f>
        <v>#NAME?</v>
      </c>
      <c r="E105" s="12" t="e">
        <f ca="1">MATCH(SMALL(D:D,COUNTIF(D:D,0)+ROWS(D$2:D105)),D:D,0)</f>
        <v>#NAME?</v>
      </c>
      <c r="F105" s="14" t="e">
        <f t="shared" ca="1" si="2"/>
        <v>#NAME?</v>
      </c>
      <c r="G105" s="15" t="e">
        <f t="shared" ca="1" si="3"/>
        <v>#NAME?</v>
      </c>
    </row>
    <row r="106" spans="3:7" x14ac:dyDescent="0.2">
      <c r="C106" s="13" t="e">
        <f ca="1">nullrep([0]!sumextralines)+nullrep([0]!sumextralines)</f>
        <v>#NAME?</v>
      </c>
      <c r="D106" s="12" t="e">
        <f ca="1">IF(C106&lt;&gt;0,C106+(ROWS(C$2:C106)/1000*(C106&lt;&gt;0)),"")</f>
        <v>#NAME?</v>
      </c>
      <c r="E106" s="12" t="e">
        <f ca="1">MATCH(SMALL(D:D,COUNTIF(D:D,0)+ROWS(D$2:D106)),D:D,0)</f>
        <v>#NAME?</v>
      </c>
      <c r="F106" s="14" t="e">
        <f t="shared" ca="1" si="2"/>
        <v>#NAME?</v>
      </c>
      <c r="G106" s="15" t="e">
        <f t="shared" ca="1" si="3"/>
        <v>#NAME?</v>
      </c>
    </row>
    <row r="107" spans="3:7" x14ac:dyDescent="0.2">
      <c r="C107" s="13" t="e">
        <f ca="1">nullrep([0]!sumextralines)+nullrep([0]!sumextralines)</f>
        <v>#NAME?</v>
      </c>
      <c r="D107" s="12" t="e">
        <f ca="1">IF(C107&lt;&gt;0,C107+(ROWS(C$2:C107)/1000*(C107&lt;&gt;0)),"")</f>
        <v>#NAME?</v>
      </c>
      <c r="E107" s="12" t="e">
        <f ca="1">MATCH(SMALL(D:D,COUNTIF(D:D,0)+ROWS(D$2:D107)),D:D,0)</f>
        <v>#NAME?</v>
      </c>
      <c r="F107" s="14" t="e">
        <f t="shared" ca="1" si="2"/>
        <v>#NAME?</v>
      </c>
      <c r="G107" s="15" t="e">
        <f t="shared" ca="1" si="3"/>
        <v>#NAME?</v>
      </c>
    </row>
    <row r="108" spans="3:7" x14ac:dyDescent="0.2">
      <c r="C108" s="13" t="e">
        <f ca="1">nullrep([0]!sumextralines)+nullrep([0]!sumextralines)</f>
        <v>#NAME?</v>
      </c>
      <c r="D108" s="12" t="e">
        <f ca="1">IF(C108&lt;&gt;0,C108+(ROWS(C$2:C108)/1000*(C108&lt;&gt;0)),"")</f>
        <v>#NAME?</v>
      </c>
      <c r="E108" s="12" t="e">
        <f ca="1">MATCH(SMALL(D:D,COUNTIF(D:D,0)+ROWS(D$2:D108)),D:D,0)</f>
        <v>#NAME?</v>
      </c>
      <c r="F108" s="14" t="e">
        <f t="shared" ca="1" si="2"/>
        <v>#NAME?</v>
      </c>
      <c r="G108" s="15" t="e">
        <f t="shared" ca="1" si="3"/>
        <v>#NAME?</v>
      </c>
    </row>
    <row r="109" spans="3:7" x14ac:dyDescent="0.2">
      <c r="C109" s="13" t="e">
        <f ca="1">nullrep([0]!sumextralines)+nullrep([0]!sumextralines)</f>
        <v>#NAME?</v>
      </c>
      <c r="D109" s="12" t="e">
        <f ca="1">IF(C109&lt;&gt;0,C109+(ROWS(C$2:C109)/1000*(C109&lt;&gt;0)),"")</f>
        <v>#NAME?</v>
      </c>
      <c r="E109" s="12" t="e">
        <f ca="1">MATCH(SMALL(D:D,COUNTIF(D:D,0)+ROWS(D$2:D109)),D:D,0)</f>
        <v>#NAME?</v>
      </c>
      <c r="F109" s="14" t="e">
        <f t="shared" ca="1" si="2"/>
        <v>#NAME?</v>
      </c>
      <c r="G109" s="15" t="e">
        <f t="shared" ca="1" si="3"/>
        <v>#NAME?</v>
      </c>
    </row>
    <row r="110" spans="3:7" x14ac:dyDescent="0.2">
      <c r="C110" s="13" t="e">
        <f ca="1">nullrep([0]!sumextralines)+nullrep([0]!sumextralines)</f>
        <v>#NAME?</v>
      </c>
      <c r="D110" s="12" t="e">
        <f ca="1">IF(C110&lt;&gt;0,C110+(ROWS(C$2:C110)/1000*(C110&lt;&gt;0)),"")</f>
        <v>#NAME?</v>
      </c>
      <c r="E110" s="12" t="e">
        <f ca="1">MATCH(SMALL(D:D,COUNTIF(D:D,0)+ROWS(D$2:D110)),D:D,0)</f>
        <v>#NAME?</v>
      </c>
      <c r="F110" s="14" t="e">
        <f t="shared" ca="1" si="2"/>
        <v>#NAME?</v>
      </c>
      <c r="G110" s="15" t="e">
        <f t="shared" ca="1" si="3"/>
        <v>#NAME?</v>
      </c>
    </row>
    <row r="111" spans="3:7" x14ac:dyDescent="0.2">
      <c r="C111" s="13" t="e">
        <f ca="1">nullrep([0]!sumextralines)+nullrep([0]!sumextralines)</f>
        <v>#NAME?</v>
      </c>
      <c r="D111" s="12" t="e">
        <f ca="1">IF(C111&lt;&gt;0,C111+(ROWS(C$2:C111)/1000*(C111&lt;&gt;0)),"")</f>
        <v>#NAME?</v>
      </c>
      <c r="E111" s="12" t="e">
        <f ca="1">MATCH(SMALL(D:D,COUNTIF(D:D,0)+ROWS(D$2:D111)),D:D,0)</f>
        <v>#NAME?</v>
      </c>
      <c r="F111" s="14" t="e">
        <f t="shared" ca="1" si="2"/>
        <v>#NAME?</v>
      </c>
      <c r="G111" s="15" t="e">
        <f t="shared" ca="1" si="3"/>
        <v>#NAME?</v>
      </c>
    </row>
    <row r="112" spans="3:7" x14ac:dyDescent="0.2">
      <c r="C112" s="13" t="e">
        <f ca="1">nullrep([0]!sumextralines)+nullrep([0]!sumextralines)</f>
        <v>#NAME?</v>
      </c>
      <c r="D112" s="12" t="e">
        <f ca="1">IF(C112&lt;&gt;0,C112+(ROWS(C$2:C112)/1000*(C112&lt;&gt;0)),"")</f>
        <v>#NAME?</v>
      </c>
      <c r="E112" s="12" t="e">
        <f ca="1">MATCH(SMALL(D:D,COUNTIF(D:D,0)+ROWS(D$2:D112)),D:D,0)</f>
        <v>#NAME?</v>
      </c>
      <c r="F112" s="14" t="e">
        <f t="shared" ca="1" si="2"/>
        <v>#NAME?</v>
      </c>
      <c r="G112" s="15" t="e">
        <f t="shared" ca="1" si="3"/>
        <v>#NAME?</v>
      </c>
    </row>
    <row r="113" spans="3:7" x14ac:dyDescent="0.2">
      <c r="C113" s="13" t="e">
        <f ca="1">nullrep([0]!sumextralines)+nullrep([0]!sumextralines)</f>
        <v>#NAME?</v>
      </c>
      <c r="D113" s="12" t="e">
        <f ca="1">IF(C113&lt;&gt;0,C113+(ROWS(C$2:C113)/1000*(C113&lt;&gt;0)),"")</f>
        <v>#NAME?</v>
      </c>
      <c r="E113" s="12" t="e">
        <f ca="1">MATCH(SMALL(D:D,COUNTIF(D:D,0)+ROWS(D$2:D113)),D:D,0)</f>
        <v>#NAME?</v>
      </c>
      <c r="F113" s="14" t="e">
        <f t="shared" ca="1" si="2"/>
        <v>#NAME?</v>
      </c>
      <c r="G113" s="15" t="e">
        <f t="shared" ca="1" si="3"/>
        <v>#NAME?</v>
      </c>
    </row>
    <row r="114" spans="3:7" x14ac:dyDescent="0.2">
      <c r="C114" s="13" t="e">
        <f ca="1">nullrep([0]!sumextralines)+nullrep([0]!sumextralines)</f>
        <v>#NAME?</v>
      </c>
      <c r="D114" s="12" t="e">
        <f ca="1">IF(C114&lt;&gt;0,C114+(ROWS(C$2:C114)/1000*(C114&lt;&gt;0)),"")</f>
        <v>#NAME?</v>
      </c>
      <c r="E114" s="12" t="e">
        <f ca="1">MATCH(SMALL(D:D,COUNTIF(D:D,0)+ROWS(D$2:D114)),D:D,0)</f>
        <v>#NAME?</v>
      </c>
      <c r="F114" s="14" t="e">
        <f t="shared" ca="1" si="2"/>
        <v>#NAME?</v>
      </c>
      <c r="G114" s="15" t="e">
        <f t="shared" ca="1" si="3"/>
        <v>#NAME?</v>
      </c>
    </row>
    <row r="115" spans="3:7" x14ac:dyDescent="0.2">
      <c r="C115" s="13" t="e">
        <f ca="1">nullrep([0]!sumextralines)+nullrep([0]!sumextralines)</f>
        <v>#NAME?</v>
      </c>
      <c r="D115" s="12" t="e">
        <f ca="1">IF(C115&lt;&gt;0,C115+(ROWS(C$2:C115)/1000*(C115&lt;&gt;0)),"")</f>
        <v>#NAME?</v>
      </c>
      <c r="E115" s="12" t="e">
        <f ca="1">MATCH(SMALL(D:D,COUNTIF(D:D,0)+ROWS(D$2:D115)),D:D,0)</f>
        <v>#NAME?</v>
      </c>
      <c r="F115" s="14" t="e">
        <f t="shared" ca="1" si="2"/>
        <v>#NAME?</v>
      </c>
      <c r="G115" s="15" t="e">
        <f t="shared" ca="1" si="3"/>
        <v>#NAME?</v>
      </c>
    </row>
    <row r="116" spans="3:7" x14ac:dyDescent="0.2">
      <c r="C116" s="13" t="e">
        <f ca="1">nullrep([0]!sumextralines)+nullrep([0]!sumextralines)</f>
        <v>#NAME?</v>
      </c>
      <c r="D116" s="12" t="e">
        <f ca="1">IF(C116&lt;&gt;0,C116+(ROWS(C$2:C116)/1000*(C116&lt;&gt;0)),"")</f>
        <v>#NAME?</v>
      </c>
      <c r="E116" s="12" t="e">
        <f ca="1">MATCH(SMALL(D:D,COUNTIF(D:D,0)+ROWS(D$2:D116)),D:D,0)</f>
        <v>#NAME?</v>
      </c>
      <c r="F116" s="14" t="e">
        <f t="shared" ca="1" si="2"/>
        <v>#NAME?</v>
      </c>
      <c r="G116" s="15" t="e">
        <f t="shared" ca="1" si="3"/>
        <v>#NAME?</v>
      </c>
    </row>
    <row r="117" spans="3:7" x14ac:dyDescent="0.2">
      <c r="C117" s="13" t="e">
        <f ca="1">nullrep([0]!sumextralines)+nullrep([0]!sumextralines)</f>
        <v>#NAME?</v>
      </c>
      <c r="D117" s="12" t="e">
        <f ca="1">IF(C117&lt;&gt;0,C117+(ROWS(C$2:C117)/1000*(C117&lt;&gt;0)),"")</f>
        <v>#NAME?</v>
      </c>
      <c r="E117" s="12" t="e">
        <f ca="1">MATCH(SMALL(D:D,COUNTIF(D:D,0)+ROWS(D$2:D117)),D:D,0)</f>
        <v>#NAME?</v>
      </c>
      <c r="F117" s="14" t="e">
        <f t="shared" ca="1" si="2"/>
        <v>#NAME?</v>
      </c>
      <c r="G117" s="15" t="e">
        <f t="shared" ca="1" si="3"/>
        <v>#NAME?</v>
      </c>
    </row>
    <row r="118" spans="3:7" x14ac:dyDescent="0.2">
      <c r="C118" s="13" t="e">
        <f ca="1">nullrep([0]!sumextralines)+nullrep([0]!sumextralines)</f>
        <v>#NAME?</v>
      </c>
      <c r="D118" s="12" t="e">
        <f ca="1">IF(C118&lt;&gt;0,C118+(ROWS(C$2:C118)/1000*(C118&lt;&gt;0)),"")</f>
        <v>#NAME?</v>
      </c>
      <c r="E118" s="12" t="e">
        <f ca="1">MATCH(SMALL(D:D,COUNTIF(D:D,0)+ROWS(D$2:D118)),D:D,0)</f>
        <v>#NAME?</v>
      </c>
      <c r="F118" s="14" t="e">
        <f t="shared" ca="1" si="2"/>
        <v>#NAME?</v>
      </c>
      <c r="G118" s="15" t="e">
        <f t="shared" ca="1" si="3"/>
        <v>#NAME?</v>
      </c>
    </row>
    <row r="119" spans="3:7" x14ac:dyDescent="0.2">
      <c r="C119" s="13" t="e">
        <f ca="1">nullrep([0]!sumextralines)+nullrep([0]!sumextralines)</f>
        <v>#NAME?</v>
      </c>
      <c r="D119" s="12" t="e">
        <f ca="1">IF(C119&lt;&gt;0,C119+(ROWS(C$2:C119)/1000*(C119&lt;&gt;0)),"")</f>
        <v>#NAME?</v>
      </c>
      <c r="E119" s="12" t="e">
        <f ca="1">MATCH(SMALL(D:D,COUNTIF(D:D,0)+ROWS(D$2:D119)),D:D,0)</f>
        <v>#NAME?</v>
      </c>
      <c r="F119" s="14" t="e">
        <f t="shared" ca="1" si="2"/>
        <v>#NAME?</v>
      </c>
      <c r="G119" s="15" t="e">
        <f t="shared" ca="1" si="3"/>
        <v>#NAME?</v>
      </c>
    </row>
    <row r="120" spans="3:7" x14ac:dyDescent="0.2">
      <c r="C120" s="13" t="e">
        <f ca="1">nullrep([0]!sumextralines)+nullrep([0]!sumextralines)</f>
        <v>#NAME?</v>
      </c>
      <c r="D120" s="12" t="e">
        <f ca="1">IF(C120&lt;&gt;0,C120+(ROWS(C$2:C120)/1000*(C120&lt;&gt;0)),"")</f>
        <v>#NAME?</v>
      </c>
      <c r="E120" s="12" t="e">
        <f ca="1">MATCH(SMALL(D:D,COUNTIF(D:D,0)+ROWS(D$2:D120)),D:D,0)</f>
        <v>#NAME?</v>
      </c>
      <c r="F120" s="14" t="e">
        <f t="shared" ca="1" si="2"/>
        <v>#NAME?</v>
      </c>
      <c r="G120" s="15" t="e">
        <f t="shared" ca="1" si="3"/>
        <v>#NAME?</v>
      </c>
    </row>
    <row r="121" spans="3:7" x14ac:dyDescent="0.2">
      <c r="C121" s="13" t="e">
        <f ca="1">nullrep([0]!sumextralines)+nullrep([0]!sumextralines)</f>
        <v>#NAME?</v>
      </c>
      <c r="D121" s="12" t="e">
        <f ca="1">IF(C121&lt;&gt;0,C121+(ROWS(C$2:C121)/1000*(C121&lt;&gt;0)),"")</f>
        <v>#NAME?</v>
      </c>
      <c r="E121" s="12" t="e">
        <f ca="1">MATCH(SMALL(D:D,COUNTIF(D:D,0)+ROWS(D$2:D121)),D:D,0)</f>
        <v>#NAME?</v>
      </c>
      <c r="F121" s="14" t="e">
        <f t="shared" ca="1" si="2"/>
        <v>#NAME?</v>
      </c>
      <c r="G121" s="15" t="e">
        <f t="shared" ca="1" si="3"/>
        <v>#NAME?</v>
      </c>
    </row>
    <row r="122" spans="3:7" x14ac:dyDescent="0.2">
      <c r="C122" s="13" t="e">
        <f ca="1">nullrep([0]!sumextralines)+nullrep([0]!sumextralines)</f>
        <v>#NAME?</v>
      </c>
      <c r="D122" s="12" t="e">
        <f ca="1">IF(C122&lt;&gt;0,C122+(ROWS(C$2:C122)/1000*(C122&lt;&gt;0)),"")</f>
        <v>#NAME?</v>
      </c>
      <c r="E122" s="12" t="e">
        <f ca="1">MATCH(SMALL(D:D,COUNTIF(D:D,0)+ROWS(D$2:D122)),D:D,0)</f>
        <v>#NAME?</v>
      </c>
      <c r="F122" s="14" t="e">
        <f t="shared" ca="1" si="2"/>
        <v>#NAME?</v>
      </c>
      <c r="G122" s="15" t="e">
        <f t="shared" ca="1" si="3"/>
        <v>#NAME?</v>
      </c>
    </row>
    <row r="123" spans="3:7" x14ac:dyDescent="0.2">
      <c r="C123" s="13" t="e">
        <f ca="1">nullrep([0]!sumextralines)+nullrep([0]!sumextralines)</f>
        <v>#NAME?</v>
      </c>
      <c r="D123" s="12" t="e">
        <f ca="1">IF(C123&lt;&gt;0,C123+(ROWS(C$2:C123)/1000*(C123&lt;&gt;0)),"")</f>
        <v>#NAME?</v>
      </c>
      <c r="E123" s="12" t="e">
        <f ca="1">MATCH(SMALL(D:D,COUNTIF(D:D,0)+ROWS(D$2:D123)),D:D,0)</f>
        <v>#NAME?</v>
      </c>
      <c r="F123" s="14" t="e">
        <f t="shared" ca="1" si="2"/>
        <v>#NAME?</v>
      </c>
      <c r="G123" s="15" t="e">
        <f t="shared" ca="1" si="3"/>
        <v>#NAME?</v>
      </c>
    </row>
    <row r="124" spans="3:7" x14ac:dyDescent="0.2">
      <c r="C124" s="13" t="e">
        <f ca="1">nullrep([0]!sumextralines)+nullrep([0]!sumextralines)</f>
        <v>#NAME?</v>
      </c>
      <c r="D124" s="12" t="e">
        <f ca="1">IF(C124&lt;&gt;0,C124+(ROWS(C$2:C124)/1000*(C124&lt;&gt;0)),"")</f>
        <v>#NAME?</v>
      </c>
      <c r="E124" s="12" t="e">
        <f ca="1">MATCH(SMALL(D:D,COUNTIF(D:D,0)+ROWS(D$2:D124)),D:D,0)</f>
        <v>#NAME?</v>
      </c>
      <c r="F124" s="14" t="e">
        <f t="shared" ref="F124:F187" ca="1" si="5">OFFSET($B$1,E124-1,1,1,1)</f>
        <v>#NAME?</v>
      </c>
      <c r="G124" s="15" t="e">
        <f t="shared" ref="G124:G187" ca="1" si="6">OFFSET($B$1,E124-1,0,1,1)</f>
        <v>#NAME?</v>
      </c>
    </row>
    <row r="125" spans="3:7" x14ac:dyDescent="0.2">
      <c r="C125" s="13" t="e">
        <f ca="1">nullrep([0]!sumextralines)+nullrep([0]!sumextralines)</f>
        <v>#NAME?</v>
      </c>
      <c r="D125" s="12" t="e">
        <f ca="1">IF(C125&lt;&gt;0,C125+(ROWS(C$2:C125)/1000*(C125&lt;&gt;0)),"")</f>
        <v>#NAME?</v>
      </c>
      <c r="E125" s="12" t="e">
        <f ca="1">MATCH(SMALL(D:D,COUNTIF(D:D,0)+ROWS(D$2:D125)),D:D,0)</f>
        <v>#NAME?</v>
      </c>
      <c r="F125" s="14" t="e">
        <f t="shared" ca="1" si="5"/>
        <v>#NAME?</v>
      </c>
      <c r="G125" s="15" t="e">
        <f t="shared" ca="1" si="6"/>
        <v>#NAME?</v>
      </c>
    </row>
    <row r="126" spans="3:7" x14ac:dyDescent="0.2">
      <c r="C126" s="13" t="e">
        <f ca="1">nullrep([0]!sumextralines)+nullrep([0]!sumextralines)</f>
        <v>#NAME?</v>
      </c>
      <c r="D126" s="12" t="e">
        <f ca="1">IF(C126&lt;&gt;0,C126+(ROWS(C$2:C126)/1000*(C126&lt;&gt;0)),"")</f>
        <v>#NAME?</v>
      </c>
      <c r="E126" s="12" t="e">
        <f ca="1">MATCH(SMALL(D:D,COUNTIF(D:D,0)+ROWS(D$2:D126)),D:D,0)</f>
        <v>#NAME?</v>
      </c>
      <c r="F126" s="14" t="e">
        <f t="shared" ca="1" si="5"/>
        <v>#NAME?</v>
      </c>
      <c r="G126" s="15" t="e">
        <f t="shared" ca="1" si="6"/>
        <v>#NAME?</v>
      </c>
    </row>
    <row r="127" spans="3:7" x14ac:dyDescent="0.2">
      <c r="C127" s="13" t="e">
        <f ca="1">nullrep([0]!sumextralines)+nullrep([0]!sumextralines)</f>
        <v>#NAME?</v>
      </c>
      <c r="D127" s="12" t="e">
        <f ca="1">IF(C127&lt;&gt;0,C127+(ROWS(C$2:C127)/1000*(C127&lt;&gt;0)),"")</f>
        <v>#NAME?</v>
      </c>
      <c r="E127" s="12" t="e">
        <f ca="1">MATCH(SMALL(D:D,COUNTIF(D:D,0)+ROWS(D$2:D127)),D:D,0)</f>
        <v>#NAME?</v>
      </c>
      <c r="F127" s="14" t="e">
        <f t="shared" ca="1" si="5"/>
        <v>#NAME?</v>
      </c>
      <c r="G127" s="15" t="e">
        <f t="shared" ca="1" si="6"/>
        <v>#NAME?</v>
      </c>
    </row>
    <row r="128" spans="3:7" x14ac:dyDescent="0.2">
      <c r="C128" s="13" t="e">
        <f ca="1">nullrep([0]!sumextralines)+nullrep([0]!sumextralines)</f>
        <v>#NAME?</v>
      </c>
      <c r="D128" s="12" t="e">
        <f ca="1">IF(C128&lt;&gt;0,C128+(ROWS(C$2:C128)/1000*(C128&lt;&gt;0)),"")</f>
        <v>#NAME?</v>
      </c>
      <c r="E128" s="12" t="e">
        <f ca="1">MATCH(SMALL(D:D,COUNTIF(D:D,0)+ROWS(D$2:D128)),D:D,0)</f>
        <v>#NAME?</v>
      </c>
      <c r="F128" s="14" t="e">
        <f t="shared" ca="1" si="5"/>
        <v>#NAME?</v>
      </c>
      <c r="G128" s="15" t="e">
        <f t="shared" ca="1" si="6"/>
        <v>#NAME?</v>
      </c>
    </row>
    <row r="129" spans="3:7" x14ac:dyDescent="0.2">
      <c r="C129" s="13" t="e">
        <f ca="1">nullrep([0]!sumextralines)+nullrep([0]!sumextralines)</f>
        <v>#NAME?</v>
      </c>
      <c r="D129" s="12" t="e">
        <f ca="1">IF(C129&lt;&gt;0,C129+(ROWS(C$2:C129)/1000*(C129&lt;&gt;0)),"")</f>
        <v>#NAME?</v>
      </c>
      <c r="E129" s="12" t="e">
        <f ca="1">MATCH(SMALL(D:D,COUNTIF(D:D,0)+ROWS(D$2:D129)),D:D,0)</f>
        <v>#NAME?</v>
      </c>
      <c r="F129" s="14" t="e">
        <f t="shared" ca="1" si="5"/>
        <v>#NAME?</v>
      </c>
      <c r="G129" s="15" t="e">
        <f t="shared" ca="1" si="6"/>
        <v>#NAME?</v>
      </c>
    </row>
    <row r="130" spans="3:7" x14ac:dyDescent="0.2">
      <c r="C130" s="13" t="e">
        <f ca="1">nullrep([0]!sumextralines)+nullrep([0]!sumextralines)</f>
        <v>#NAME?</v>
      </c>
      <c r="D130" s="12" t="e">
        <f ca="1">IF(C130&lt;&gt;0,C130+(ROWS(C$2:C130)/1000*(C130&lt;&gt;0)),"")</f>
        <v>#NAME?</v>
      </c>
      <c r="E130" s="12" t="e">
        <f ca="1">MATCH(SMALL(D:D,COUNTIF(D:D,0)+ROWS(D$2:D130)),D:D,0)</f>
        <v>#NAME?</v>
      </c>
      <c r="F130" s="14" t="e">
        <f t="shared" ca="1" si="5"/>
        <v>#NAME?</v>
      </c>
      <c r="G130" s="15" t="e">
        <f t="shared" ca="1" si="6"/>
        <v>#NAME?</v>
      </c>
    </row>
    <row r="131" spans="3:7" x14ac:dyDescent="0.2">
      <c r="C131" s="13" t="e">
        <f ca="1">nullrep([0]!sumextralines)+nullrep([0]!sumextralines)</f>
        <v>#NAME?</v>
      </c>
      <c r="D131" s="12" t="e">
        <f ca="1">IF(C131&lt;&gt;0,C131+(ROWS(C$2:C131)/1000*(C131&lt;&gt;0)),"")</f>
        <v>#NAME?</v>
      </c>
      <c r="E131" s="12" t="e">
        <f ca="1">MATCH(SMALL(D:D,COUNTIF(D:D,0)+ROWS(D$2:D131)),D:D,0)</f>
        <v>#NAME?</v>
      </c>
      <c r="F131" s="14" t="e">
        <f t="shared" ca="1" si="5"/>
        <v>#NAME?</v>
      </c>
      <c r="G131" s="15" t="e">
        <f t="shared" ca="1" si="6"/>
        <v>#NAME?</v>
      </c>
    </row>
    <row r="132" spans="3:7" x14ac:dyDescent="0.2">
      <c r="C132" s="13" t="e">
        <f ca="1">nullrep([0]!sumextralines)+nullrep([0]!sumextralines)</f>
        <v>#NAME?</v>
      </c>
      <c r="D132" s="12" t="e">
        <f ca="1">IF(C132&lt;&gt;0,C132+(ROWS(C$2:C132)/1000*(C132&lt;&gt;0)),"")</f>
        <v>#NAME?</v>
      </c>
      <c r="E132" s="12" t="e">
        <f ca="1">MATCH(SMALL(D:D,COUNTIF(D:D,0)+ROWS(D$2:D132)),D:D,0)</f>
        <v>#NAME?</v>
      </c>
      <c r="F132" s="14" t="e">
        <f t="shared" ca="1" si="5"/>
        <v>#NAME?</v>
      </c>
      <c r="G132" s="15" t="e">
        <f t="shared" ca="1" si="6"/>
        <v>#NAME?</v>
      </c>
    </row>
    <row r="133" spans="3:7" x14ac:dyDescent="0.2">
      <c r="C133" s="13" t="e">
        <f ca="1">nullrep([0]!sumextralines)+nullrep([0]!sumextralines)</f>
        <v>#NAME?</v>
      </c>
      <c r="D133" s="12" t="e">
        <f ca="1">IF(C133&lt;&gt;0,C133+(ROWS(C$2:C133)/1000*(C133&lt;&gt;0)),"")</f>
        <v>#NAME?</v>
      </c>
      <c r="E133" s="12" t="e">
        <f ca="1">MATCH(SMALL(D:D,COUNTIF(D:D,0)+ROWS(D$2:D133)),D:D,0)</f>
        <v>#NAME?</v>
      </c>
      <c r="F133" s="14" t="e">
        <f t="shared" ca="1" si="5"/>
        <v>#NAME?</v>
      </c>
      <c r="G133" s="15" t="e">
        <f t="shared" ca="1" si="6"/>
        <v>#NAME?</v>
      </c>
    </row>
    <row r="134" spans="3:7" x14ac:dyDescent="0.2">
      <c r="C134" s="13" t="e">
        <f ca="1">nullrep([0]!sumextralines)+nullrep([0]!sumextralines)</f>
        <v>#NAME?</v>
      </c>
      <c r="D134" s="12" t="e">
        <f ca="1">IF(C134&lt;&gt;0,C134+(ROWS(C$2:C134)/1000*(C134&lt;&gt;0)),"")</f>
        <v>#NAME?</v>
      </c>
      <c r="E134" s="12" t="e">
        <f ca="1">MATCH(SMALL(D:D,COUNTIF(D:D,0)+ROWS(D$2:D134)),D:D,0)</f>
        <v>#NAME?</v>
      </c>
      <c r="F134" s="14" t="e">
        <f t="shared" ca="1" si="5"/>
        <v>#NAME?</v>
      </c>
      <c r="G134" s="15" t="e">
        <f t="shared" ca="1" si="6"/>
        <v>#NAME?</v>
      </c>
    </row>
    <row r="135" spans="3:7" x14ac:dyDescent="0.2">
      <c r="C135" s="13" t="e">
        <f ca="1">nullrep([0]!sumextralines)+nullrep([0]!sumextralines)</f>
        <v>#NAME?</v>
      </c>
      <c r="D135" s="12" t="e">
        <f ca="1">IF(C135&lt;&gt;0,C135+(ROWS(C$2:C135)/1000*(C135&lt;&gt;0)),"")</f>
        <v>#NAME?</v>
      </c>
      <c r="E135" s="12" t="e">
        <f ca="1">MATCH(SMALL(D:D,COUNTIF(D:D,0)+ROWS(D$2:D135)),D:D,0)</f>
        <v>#NAME?</v>
      </c>
      <c r="F135" s="14" t="e">
        <f t="shared" ca="1" si="5"/>
        <v>#NAME?</v>
      </c>
      <c r="G135" s="15" t="e">
        <f t="shared" ca="1" si="6"/>
        <v>#NAME?</v>
      </c>
    </row>
    <row r="136" spans="3:7" x14ac:dyDescent="0.2">
      <c r="C136" s="13" t="e">
        <f ca="1">nullrep([0]!sumextralines)+nullrep([0]!sumextralines)</f>
        <v>#NAME?</v>
      </c>
      <c r="D136" s="12" t="e">
        <f ca="1">IF(C136&lt;&gt;0,C136+(ROWS(C$2:C136)/1000*(C136&lt;&gt;0)),"")</f>
        <v>#NAME?</v>
      </c>
      <c r="E136" s="12" t="e">
        <f ca="1">MATCH(SMALL(D:D,COUNTIF(D:D,0)+ROWS(D$2:D136)),D:D,0)</f>
        <v>#NAME?</v>
      </c>
      <c r="F136" s="14" t="e">
        <f t="shared" ca="1" si="5"/>
        <v>#NAME?</v>
      </c>
      <c r="G136" s="15" t="e">
        <f t="shared" ca="1" si="6"/>
        <v>#NAME?</v>
      </c>
    </row>
    <row r="137" spans="3:7" x14ac:dyDescent="0.2">
      <c r="C137" s="13" t="e">
        <f ca="1">nullrep([0]!sumextralines)+nullrep([0]!sumextralines)</f>
        <v>#NAME?</v>
      </c>
      <c r="D137" s="12" t="e">
        <f ca="1">IF(C137&lt;&gt;0,C137+(ROWS(C$2:C137)/1000*(C137&lt;&gt;0)),"")</f>
        <v>#NAME?</v>
      </c>
      <c r="E137" s="12" t="e">
        <f ca="1">MATCH(SMALL(D:D,COUNTIF(D:D,0)+ROWS(D$2:D137)),D:D,0)</f>
        <v>#NAME?</v>
      </c>
      <c r="F137" s="14" t="e">
        <f t="shared" ca="1" si="5"/>
        <v>#NAME?</v>
      </c>
      <c r="G137" s="15" t="e">
        <f t="shared" ca="1" si="6"/>
        <v>#NAME?</v>
      </c>
    </row>
    <row r="138" spans="3:7" x14ac:dyDescent="0.2">
      <c r="C138" s="13" t="e">
        <f ca="1">nullrep([0]!sumextralines)+nullrep([0]!sumextralines)</f>
        <v>#NAME?</v>
      </c>
      <c r="D138" s="12" t="e">
        <f ca="1">IF(C138&lt;&gt;0,C138+(ROWS(C$2:C138)/1000*(C138&lt;&gt;0)),"")</f>
        <v>#NAME?</v>
      </c>
      <c r="E138" s="12" t="e">
        <f ca="1">MATCH(SMALL(D:D,COUNTIF(D:D,0)+ROWS(D$2:D138)),D:D,0)</f>
        <v>#NAME?</v>
      </c>
      <c r="F138" s="14" t="e">
        <f t="shared" ca="1" si="5"/>
        <v>#NAME?</v>
      </c>
      <c r="G138" s="15" t="e">
        <f t="shared" ca="1" si="6"/>
        <v>#NAME?</v>
      </c>
    </row>
    <row r="139" spans="3:7" x14ac:dyDescent="0.2">
      <c r="C139" s="13" t="e">
        <f ca="1">nullrep([0]!sumextralines)+nullrep([0]!sumextralines)</f>
        <v>#NAME?</v>
      </c>
      <c r="D139" s="12" t="e">
        <f ca="1">IF(C139&lt;&gt;0,C139+(ROWS(C$2:C139)/1000*(C139&lt;&gt;0)),"")</f>
        <v>#NAME?</v>
      </c>
      <c r="E139" s="12" t="e">
        <f ca="1">MATCH(SMALL(D:D,COUNTIF(D:D,0)+ROWS(D$2:D139)),D:D,0)</f>
        <v>#NAME?</v>
      </c>
      <c r="F139" s="14" t="e">
        <f t="shared" ca="1" si="5"/>
        <v>#NAME?</v>
      </c>
      <c r="G139" s="15" t="e">
        <f t="shared" ca="1" si="6"/>
        <v>#NAME?</v>
      </c>
    </row>
    <row r="140" spans="3:7" x14ac:dyDescent="0.2">
      <c r="C140" s="13" t="e">
        <f ca="1">nullrep([0]!sumextralines)+nullrep([0]!sumextralines)</f>
        <v>#NAME?</v>
      </c>
      <c r="D140" s="12" t="e">
        <f ca="1">IF(C140&lt;&gt;0,C140+(ROWS(C$2:C140)/1000*(C140&lt;&gt;0)),"")</f>
        <v>#NAME?</v>
      </c>
      <c r="E140" s="12" t="e">
        <f ca="1">MATCH(SMALL(D:D,COUNTIF(D:D,0)+ROWS(D$2:D140)),D:D,0)</f>
        <v>#NAME?</v>
      </c>
      <c r="F140" s="14" t="e">
        <f t="shared" ca="1" si="5"/>
        <v>#NAME?</v>
      </c>
      <c r="G140" s="15" t="e">
        <f t="shared" ca="1" si="6"/>
        <v>#NAME?</v>
      </c>
    </row>
    <row r="141" spans="3:7" x14ac:dyDescent="0.2">
      <c r="C141" s="13" t="e">
        <f ca="1">nullrep([0]!sumextralines)+nullrep([0]!sumextralines)</f>
        <v>#NAME?</v>
      </c>
      <c r="D141" s="12" t="e">
        <f ca="1">IF(C141&lt;&gt;0,C141+(ROWS(C$2:C141)/1000*(C141&lt;&gt;0)),"")</f>
        <v>#NAME?</v>
      </c>
      <c r="E141" s="12" t="e">
        <f ca="1">MATCH(SMALL(D:D,COUNTIF(D:D,0)+ROWS(D$2:D141)),D:D,0)</f>
        <v>#NAME?</v>
      </c>
      <c r="F141" s="14" t="e">
        <f t="shared" ca="1" si="5"/>
        <v>#NAME?</v>
      </c>
      <c r="G141" s="15" t="e">
        <f t="shared" ca="1" si="6"/>
        <v>#NAME?</v>
      </c>
    </row>
    <row r="142" spans="3:7" x14ac:dyDescent="0.2">
      <c r="C142" s="13" t="e">
        <f ca="1">nullrep([0]!sumextralines)+nullrep([0]!sumextralines)</f>
        <v>#NAME?</v>
      </c>
      <c r="D142" s="12" t="e">
        <f ca="1">IF(C142&lt;&gt;0,C142+(ROWS(C$2:C142)/1000*(C142&lt;&gt;0)),"")</f>
        <v>#NAME?</v>
      </c>
      <c r="E142" s="12" t="e">
        <f ca="1">MATCH(SMALL(D:D,COUNTIF(D:D,0)+ROWS(D$2:D142)),D:D,0)</f>
        <v>#NAME?</v>
      </c>
      <c r="F142" s="14" t="e">
        <f t="shared" ca="1" si="5"/>
        <v>#NAME?</v>
      </c>
      <c r="G142" s="15" t="e">
        <f t="shared" ca="1" si="6"/>
        <v>#NAME?</v>
      </c>
    </row>
    <row r="143" spans="3:7" x14ac:dyDescent="0.2">
      <c r="C143" s="13" t="e">
        <f ca="1">nullrep([0]!sumextralines)+nullrep([0]!sumextralines)</f>
        <v>#NAME?</v>
      </c>
      <c r="D143" s="12" t="e">
        <f ca="1">IF(C143&lt;&gt;0,C143+(ROWS(C$2:C143)/1000*(C143&lt;&gt;0)),"")</f>
        <v>#NAME?</v>
      </c>
      <c r="E143" s="12" t="e">
        <f ca="1">MATCH(SMALL(D:D,COUNTIF(D:D,0)+ROWS(D$2:D143)),D:D,0)</f>
        <v>#NAME?</v>
      </c>
      <c r="F143" s="14" t="e">
        <f t="shared" ca="1" si="5"/>
        <v>#NAME?</v>
      </c>
      <c r="G143" s="15" t="e">
        <f t="shared" ca="1" si="6"/>
        <v>#NAME?</v>
      </c>
    </row>
    <row r="144" spans="3:7" x14ac:dyDescent="0.2">
      <c r="C144" s="13" t="e">
        <f ca="1">nullrep([0]!sumextralines)+nullrep([0]!sumextralines)</f>
        <v>#NAME?</v>
      </c>
      <c r="D144" s="12" t="e">
        <f ca="1">IF(C144&lt;&gt;0,C144+(ROWS(C$2:C144)/1000*(C144&lt;&gt;0)),"")</f>
        <v>#NAME?</v>
      </c>
      <c r="E144" s="12" t="e">
        <f ca="1">MATCH(SMALL(D:D,COUNTIF(D:D,0)+ROWS(D$2:D144)),D:D,0)</f>
        <v>#NAME?</v>
      </c>
      <c r="F144" s="14" t="e">
        <f t="shared" ca="1" si="5"/>
        <v>#NAME?</v>
      </c>
      <c r="G144" s="15" t="e">
        <f t="shared" ca="1" si="6"/>
        <v>#NAME?</v>
      </c>
    </row>
    <row r="145" spans="3:7" x14ac:dyDescent="0.2">
      <c r="C145" s="13" t="e">
        <f ca="1">nullrep([0]!sumextralines)+nullrep([0]!sumextralines)</f>
        <v>#NAME?</v>
      </c>
      <c r="D145" s="12" t="e">
        <f ca="1">IF(C145&lt;&gt;0,C145+(ROWS(C$2:C145)/1000*(C145&lt;&gt;0)),"")</f>
        <v>#NAME?</v>
      </c>
      <c r="E145" s="12" t="e">
        <f ca="1">MATCH(SMALL(D:D,COUNTIF(D:D,0)+ROWS(D$2:D145)),D:D,0)</f>
        <v>#NAME?</v>
      </c>
      <c r="F145" s="14" t="e">
        <f t="shared" ca="1" si="5"/>
        <v>#NAME?</v>
      </c>
      <c r="G145" s="15" t="e">
        <f t="shared" ca="1" si="6"/>
        <v>#NAME?</v>
      </c>
    </row>
    <row r="146" spans="3:7" x14ac:dyDescent="0.2">
      <c r="C146" s="13" t="e">
        <f ca="1">nullrep([0]!sumextralines)+nullrep([0]!sumextralines)</f>
        <v>#NAME?</v>
      </c>
      <c r="D146" s="12" t="e">
        <f ca="1">IF(C146&lt;&gt;0,C146+(ROWS(C$2:C146)/1000*(C146&lt;&gt;0)),"")</f>
        <v>#NAME?</v>
      </c>
      <c r="E146" s="12" t="e">
        <f ca="1">MATCH(SMALL(D:D,COUNTIF(D:D,0)+ROWS(D$2:D146)),D:D,0)</f>
        <v>#NAME?</v>
      </c>
      <c r="F146" s="14" t="e">
        <f t="shared" ca="1" si="5"/>
        <v>#NAME?</v>
      </c>
      <c r="G146" s="15" t="e">
        <f t="shared" ca="1" si="6"/>
        <v>#NAME?</v>
      </c>
    </row>
    <row r="147" spans="3:7" x14ac:dyDescent="0.2">
      <c r="C147" s="13" t="e">
        <f ca="1">nullrep([0]!sumextralines)+nullrep([0]!sumextralines)</f>
        <v>#NAME?</v>
      </c>
      <c r="D147" s="12" t="e">
        <f ca="1">IF(C147&lt;&gt;0,C147+(ROWS(C$2:C147)/1000*(C147&lt;&gt;0)),"")</f>
        <v>#NAME?</v>
      </c>
      <c r="E147" s="12" t="e">
        <f ca="1">MATCH(SMALL(D:D,COUNTIF(D:D,0)+ROWS(D$2:D147)),D:D,0)</f>
        <v>#NAME?</v>
      </c>
      <c r="F147" s="14" t="e">
        <f t="shared" ca="1" si="5"/>
        <v>#NAME?</v>
      </c>
      <c r="G147" s="15" t="e">
        <f t="shared" ca="1" si="6"/>
        <v>#NAME?</v>
      </c>
    </row>
    <row r="148" spans="3:7" x14ac:dyDescent="0.2">
      <c r="C148" s="13" t="e">
        <f ca="1">nullrep([0]!sumextralines)+nullrep([0]!sumextralines)</f>
        <v>#NAME?</v>
      </c>
      <c r="D148" s="12" t="e">
        <f ca="1">IF(C148&lt;&gt;0,C148+(ROWS(C$2:C148)/1000*(C148&lt;&gt;0)),"")</f>
        <v>#NAME?</v>
      </c>
      <c r="E148" s="12" t="e">
        <f ca="1">MATCH(SMALL(D:D,COUNTIF(D:D,0)+ROWS(D$2:D148)),D:D,0)</f>
        <v>#NAME?</v>
      </c>
      <c r="F148" s="14" t="e">
        <f t="shared" ca="1" si="5"/>
        <v>#NAME?</v>
      </c>
      <c r="G148" s="15" t="e">
        <f t="shared" ca="1" si="6"/>
        <v>#NAME?</v>
      </c>
    </row>
    <row r="149" spans="3:7" x14ac:dyDescent="0.2">
      <c r="C149" s="13" t="e">
        <f ca="1">nullrep([0]!sumextralines)+nullrep([0]!sumextralines)</f>
        <v>#NAME?</v>
      </c>
      <c r="D149" s="12" t="e">
        <f ca="1">IF(C149&lt;&gt;0,C149+(ROWS(C$2:C149)/1000*(C149&lt;&gt;0)),"")</f>
        <v>#NAME?</v>
      </c>
      <c r="E149" s="12" t="e">
        <f ca="1">MATCH(SMALL(D:D,COUNTIF(D:D,0)+ROWS(D$2:D149)),D:D,0)</f>
        <v>#NAME?</v>
      </c>
      <c r="F149" s="14" t="e">
        <f t="shared" ca="1" si="5"/>
        <v>#NAME?</v>
      </c>
      <c r="G149" s="15" t="e">
        <f t="shared" ca="1" si="6"/>
        <v>#NAME?</v>
      </c>
    </row>
    <row r="150" spans="3:7" x14ac:dyDescent="0.2">
      <c r="C150" s="13" t="e">
        <f ca="1">nullrep([0]!sumextralines)+nullrep([0]!sumextralines)</f>
        <v>#NAME?</v>
      </c>
      <c r="D150" s="12" t="e">
        <f ca="1">IF(C150&lt;&gt;0,C150+(ROWS(C$2:C150)/1000*(C150&lt;&gt;0)),"")</f>
        <v>#NAME?</v>
      </c>
      <c r="E150" s="12" t="e">
        <f ca="1">MATCH(SMALL(D:D,COUNTIF(D:D,0)+ROWS(D$2:D150)),D:D,0)</f>
        <v>#NAME?</v>
      </c>
      <c r="F150" s="14" t="e">
        <f t="shared" ca="1" si="5"/>
        <v>#NAME?</v>
      </c>
      <c r="G150" s="15" t="e">
        <f t="shared" ca="1" si="6"/>
        <v>#NAME?</v>
      </c>
    </row>
    <row r="151" spans="3:7" x14ac:dyDescent="0.2">
      <c r="C151" s="13" t="e">
        <f ca="1">nullrep([0]!sumextralines)+nullrep([0]!sumextralines)</f>
        <v>#NAME?</v>
      </c>
      <c r="D151" s="12" t="e">
        <f ca="1">IF(C151&lt;&gt;0,C151+(ROWS(C$2:C151)/1000*(C151&lt;&gt;0)),"")</f>
        <v>#NAME?</v>
      </c>
      <c r="E151" s="12" t="e">
        <f ca="1">MATCH(SMALL(D:D,COUNTIF(D:D,0)+ROWS(D$2:D151)),D:D,0)</f>
        <v>#NAME?</v>
      </c>
      <c r="F151" s="14" t="e">
        <f t="shared" ca="1" si="5"/>
        <v>#NAME?</v>
      </c>
      <c r="G151" s="15" t="e">
        <f t="shared" ca="1" si="6"/>
        <v>#NAME?</v>
      </c>
    </row>
    <row r="152" spans="3:7" x14ac:dyDescent="0.2">
      <c r="C152" s="13" t="e">
        <f ca="1">nullrep([0]!sumextralines)+nullrep([0]!sumextralines)</f>
        <v>#NAME?</v>
      </c>
      <c r="D152" s="12" t="e">
        <f ca="1">IF(C152&lt;&gt;0,C152+(ROWS(C$2:C152)/1000*(C152&lt;&gt;0)),"")</f>
        <v>#NAME?</v>
      </c>
      <c r="E152" s="12" t="e">
        <f ca="1">MATCH(SMALL(D:D,COUNTIF(D:D,0)+ROWS(D$2:D152)),D:D,0)</f>
        <v>#NAME?</v>
      </c>
      <c r="F152" s="14" t="e">
        <f t="shared" ca="1" si="5"/>
        <v>#NAME?</v>
      </c>
      <c r="G152" s="15" t="e">
        <f t="shared" ca="1" si="6"/>
        <v>#NAME?</v>
      </c>
    </row>
    <row r="153" spans="3:7" x14ac:dyDescent="0.2">
      <c r="C153" s="13" t="e">
        <f ca="1">nullrep([0]!sumextralines)+nullrep([0]!sumextralines)</f>
        <v>#NAME?</v>
      </c>
      <c r="D153" s="12" t="e">
        <f ca="1">IF(C153&lt;&gt;0,C153+(ROWS(C$2:C153)/1000*(C153&lt;&gt;0)),"")</f>
        <v>#NAME?</v>
      </c>
      <c r="E153" s="12" t="e">
        <f ca="1">MATCH(SMALL(D:D,COUNTIF(D:D,0)+ROWS(D$2:D153)),D:D,0)</f>
        <v>#NAME?</v>
      </c>
      <c r="F153" s="14" t="e">
        <f t="shared" ca="1" si="5"/>
        <v>#NAME?</v>
      </c>
      <c r="G153" s="15" t="e">
        <f t="shared" ca="1" si="6"/>
        <v>#NAME?</v>
      </c>
    </row>
    <row r="154" spans="3:7" x14ac:dyDescent="0.2">
      <c r="C154" s="13" t="e">
        <f ca="1">nullrep([0]!sumextralines)+nullrep([0]!sumextralines)</f>
        <v>#NAME?</v>
      </c>
      <c r="D154" s="12" t="e">
        <f ca="1">IF(C154&lt;&gt;0,C154+(ROWS(C$2:C154)/1000*(C154&lt;&gt;0)),"")</f>
        <v>#NAME?</v>
      </c>
      <c r="E154" s="12" t="e">
        <f ca="1">MATCH(SMALL(D:D,COUNTIF(D:D,0)+ROWS(D$2:D154)),D:D,0)</f>
        <v>#NAME?</v>
      </c>
      <c r="F154" s="14" t="e">
        <f t="shared" ca="1" si="5"/>
        <v>#NAME?</v>
      </c>
      <c r="G154" s="15" t="e">
        <f t="shared" ca="1" si="6"/>
        <v>#NAME?</v>
      </c>
    </row>
    <row r="155" spans="3:7" x14ac:dyDescent="0.2">
      <c r="C155" s="13" t="e">
        <f ca="1">nullrep([0]!sumextralines)+nullrep([0]!sumextralines)</f>
        <v>#NAME?</v>
      </c>
      <c r="D155" s="12" t="e">
        <f ca="1">IF(C155&lt;&gt;0,C155+(ROWS(C$2:C155)/1000*(C155&lt;&gt;0)),"")</f>
        <v>#NAME?</v>
      </c>
      <c r="E155" s="12" t="e">
        <f ca="1">MATCH(SMALL(D:D,COUNTIF(D:D,0)+ROWS(D$2:D155)),D:D,0)</f>
        <v>#NAME?</v>
      </c>
      <c r="F155" s="14" t="e">
        <f t="shared" ca="1" si="5"/>
        <v>#NAME?</v>
      </c>
      <c r="G155" s="15" t="e">
        <f t="shared" ca="1" si="6"/>
        <v>#NAME?</v>
      </c>
    </row>
    <row r="156" spans="3:7" x14ac:dyDescent="0.2">
      <c r="C156" s="13" t="e">
        <f ca="1">nullrep([0]!sumextralines)+nullrep([0]!sumextralines)</f>
        <v>#NAME?</v>
      </c>
      <c r="D156" s="12" t="e">
        <f ca="1">IF(C156&lt;&gt;0,C156+(ROWS(C$2:C156)/1000*(C156&lt;&gt;0)),"")</f>
        <v>#NAME?</v>
      </c>
      <c r="E156" s="12" t="e">
        <f ca="1">MATCH(SMALL(D:D,COUNTIF(D:D,0)+ROWS(D$2:D156)),D:D,0)</f>
        <v>#NAME?</v>
      </c>
      <c r="F156" s="14" t="e">
        <f t="shared" ca="1" si="5"/>
        <v>#NAME?</v>
      </c>
      <c r="G156" s="15" t="e">
        <f t="shared" ca="1" si="6"/>
        <v>#NAME?</v>
      </c>
    </row>
    <row r="157" spans="3:7" x14ac:dyDescent="0.2">
      <c r="C157" s="13" t="e">
        <f ca="1">nullrep([0]!sumextralines)+nullrep([0]!sumextralines)</f>
        <v>#NAME?</v>
      </c>
      <c r="D157" s="12" t="e">
        <f ca="1">IF(C157&lt;&gt;0,C157+(ROWS(C$2:C157)/1000*(C157&lt;&gt;0)),"")</f>
        <v>#NAME?</v>
      </c>
      <c r="E157" s="12" t="e">
        <f ca="1">MATCH(SMALL(D:D,COUNTIF(D:D,0)+ROWS(D$2:D157)),D:D,0)</f>
        <v>#NAME?</v>
      </c>
      <c r="F157" s="14" t="e">
        <f t="shared" ca="1" si="5"/>
        <v>#NAME?</v>
      </c>
      <c r="G157" s="15" t="e">
        <f t="shared" ca="1" si="6"/>
        <v>#NAME?</v>
      </c>
    </row>
    <row r="158" spans="3:7" x14ac:dyDescent="0.2">
      <c r="C158" s="13" t="e">
        <f ca="1">nullrep([0]!sumextralines)+nullrep([0]!sumextralines)</f>
        <v>#NAME?</v>
      </c>
      <c r="D158" s="12" t="e">
        <f ca="1">IF(C158&lt;&gt;0,C158+(ROWS(C$2:C158)/1000*(C158&lt;&gt;0)),"")</f>
        <v>#NAME?</v>
      </c>
      <c r="E158" s="12" t="e">
        <f ca="1">MATCH(SMALL(D:D,COUNTIF(D:D,0)+ROWS(D$2:D158)),D:D,0)</f>
        <v>#NAME?</v>
      </c>
      <c r="F158" s="14" t="e">
        <f t="shared" ca="1" si="5"/>
        <v>#NAME?</v>
      </c>
      <c r="G158" s="15" t="e">
        <f t="shared" ca="1" si="6"/>
        <v>#NAME?</v>
      </c>
    </row>
    <row r="159" spans="3:7" x14ac:dyDescent="0.2">
      <c r="C159" s="13" t="e">
        <f ca="1">nullrep([0]!sumextralines)+nullrep([0]!sumextralines)</f>
        <v>#NAME?</v>
      </c>
      <c r="D159" s="12" t="e">
        <f ca="1">IF(C159&lt;&gt;0,C159+(ROWS(C$2:C159)/1000*(C159&lt;&gt;0)),"")</f>
        <v>#NAME?</v>
      </c>
      <c r="E159" s="12" t="e">
        <f ca="1">MATCH(SMALL(D:D,COUNTIF(D:D,0)+ROWS(D$2:D159)),D:D,0)</f>
        <v>#NAME?</v>
      </c>
      <c r="F159" s="14" t="e">
        <f t="shared" ca="1" si="5"/>
        <v>#NAME?</v>
      </c>
      <c r="G159" s="15" t="e">
        <f t="shared" ca="1" si="6"/>
        <v>#NAME?</v>
      </c>
    </row>
    <row r="160" spans="3:7" x14ac:dyDescent="0.2">
      <c r="C160" s="13" t="e">
        <f ca="1">nullrep([0]!sumextralines)+nullrep([0]!sumextralines)</f>
        <v>#NAME?</v>
      </c>
      <c r="D160" s="12" t="e">
        <f ca="1">IF(C160&lt;&gt;0,C160+(ROWS(C$2:C160)/1000*(C160&lt;&gt;0)),"")</f>
        <v>#NAME?</v>
      </c>
      <c r="E160" s="12" t="e">
        <f ca="1">MATCH(SMALL(D:D,COUNTIF(D:D,0)+ROWS(D$2:D160)),D:D,0)</f>
        <v>#NAME?</v>
      </c>
      <c r="F160" s="14" t="e">
        <f t="shared" ca="1" si="5"/>
        <v>#NAME?</v>
      </c>
      <c r="G160" s="15" t="e">
        <f t="shared" ca="1" si="6"/>
        <v>#NAME?</v>
      </c>
    </row>
    <row r="161" spans="3:7" x14ac:dyDescent="0.2">
      <c r="C161" s="13" t="e">
        <f ca="1">nullrep([0]!sumextralines)+nullrep([0]!sumextralines)</f>
        <v>#NAME?</v>
      </c>
      <c r="D161" s="12" t="e">
        <f ca="1">IF(C161&lt;&gt;0,C161+(ROWS(C$2:C161)/1000*(C161&lt;&gt;0)),"")</f>
        <v>#NAME?</v>
      </c>
      <c r="E161" s="12" t="e">
        <f ca="1">MATCH(SMALL(D:D,COUNTIF(D:D,0)+ROWS(D$2:D161)),D:D,0)</f>
        <v>#NAME?</v>
      </c>
      <c r="F161" s="14" t="e">
        <f t="shared" ca="1" si="5"/>
        <v>#NAME?</v>
      </c>
      <c r="G161" s="15" t="e">
        <f t="shared" ca="1" si="6"/>
        <v>#NAME?</v>
      </c>
    </row>
    <row r="162" spans="3:7" x14ac:dyDescent="0.2">
      <c r="C162" s="13" t="e">
        <f ca="1">nullrep([0]!sumextralines)+nullrep([0]!sumextralines)</f>
        <v>#NAME?</v>
      </c>
      <c r="D162" s="12" t="e">
        <f ca="1">IF(C162&lt;&gt;0,C162+(ROWS(C$2:C162)/1000*(C162&lt;&gt;0)),"")</f>
        <v>#NAME?</v>
      </c>
      <c r="E162" s="12" t="e">
        <f ca="1">MATCH(SMALL(D:D,COUNTIF(D:D,0)+ROWS(D$2:D162)),D:D,0)</f>
        <v>#NAME?</v>
      </c>
      <c r="F162" s="14" t="e">
        <f t="shared" ca="1" si="5"/>
        <v>#NAME?</v>
      </c>
      <c r="G162" s="15" t="e">
        <f t="shared" ca="1" si="6"/>
        <v>#NAME?</v>
      </c>
    </row>
    <row r="163" spans="3:7" x14ac:dyDescent="0.2">
      <c r="C163" s="13" t="e">
        <f ca="1">nullrep([0]!sumextralines)+nullrep([0]!sumextralines)</f>
        <v>#NAME?</v>
      </c>
      <c r="D163" s="12" t="e">
        <f ca="1">IF(C163&lt;&gt;0,C163+(ROWS(C$2:C163)/1000*(C163&lt;&gt;0)),"")</f>
        <v>#NAME?</v>
      </c>
      <c r="E163" s="12" t="e">
        <f ca="1">MATCH(SMALL(D:D,COUNTIF(D:D,0)+ROWS(D$2:D163)),D:D,0)</f>
        <v>#NAME?</v>
      </c>
      <c r="F163" s="14" t="e">
        <f t="shared" ca="1" si="5"/>
        <v>#NAME?</v>
      </c>
      <c r="G163" s="15" t="e">
        <f t="shared" ca="1" si="6"/>
        <v>#NAME?</v>
      </c>
    </row>
    <row r="164" spans="3:7" x14ac:dyDescent="0.2">
      <c r="C164" s="13" t="e">
        <f ca="1">nullrep([0]!sumextralines)+nullrep([0]!sumextralines)</f>
        <v>#NAME?</v>
      </c>
      <c r="D164" s="12" t="e">
        <f ca="1">IF(C164&lt;&gt;0,C164+(ROWS(C$2:C164)/1000*(C164&lt;&gt;0)),"")</f>
        <v>#NAME?</v>
      </c>
      <c r="E164" s="12" t="e">
        <f ca="1">MATCH(SMALL(D:D,COUNTIF(D:D,0)+ROWS(D$2:D164)),D:D,0)</f>
        <v>#NAME?</v>
      </c>
      <c r="F164" s="14" t="e">
        <f t="shared" ca="1" si="5"/>
        <v>#NAME?</v>
      </c>
      <c r="G164" s="15" t="e">
        <f t="shared" ca="1" si="6"/>
        <v>#NAME?</v>
      </c>
    </row>
    <row r="165" spans="3:7" x14ac:dyDescent="0.2">
      <c r="C165" s="13" t="e">
        <f ca="1">nullrep([0]!sumextralines)+nullrep([0]!sumextralines)</f>
        <v>#NAME?</v>
      </c>
      <c r="D165" s="12" t="e">
        <f ca="1">IF(C165&lt;&gt;0,C165+(ROWS(C$2:C165)/1000*(C165&lt;&gt;0)),"")</f>
        <v>#NAME?</v>
      </c>
      <c r="E165" s="12" t="e">
        <f ca="1">MATCH(SMALL(D:D,COUNTIF(D:D,0)+ROWS(D$2:D165)),D:D,0)</f>
        <v>#NAME?</v>
      </c>
      <c r="F165" s="14" t="e">
        <f t="shared" ca="1" si="5"/>
        <v>#NAME?</v>
      </c>
      <c r="G165" s="15" t="e">
        <f t="shared" ca="1" si="6"/>
        <v>#NAME?</v>
      </c>
    </row>
    <row r="166" spans="3:7" x14ac:dyDescent="0.2">
      <c r="C166" s="13" t="e">
        <f ca="1">nullrep([0]!sumextralines)+nullrep([0]!sumextralines)</f>
        <v>#NAME?</v>
      </c>
      <c r="D166" s="12" t="e">
        <f ca="1">IF(C166&lt;&gt;0,C166+(ROWS(C$2:C166)/1000*(C166&lt;&gt;0)),"")</f>
        <v>#NAME?</v>
      </c>
      <c r="E166" s="12" t="e">
        <f ca="1">MATCH(SMALL(D:D,COUNTIF(D:D,0)+ROWS(D$2:D166)),D:D,0)</f>
        <v>#NAME?</v>
      </c>
      <c r="F166" s="14" t="e">
        <f t="shared" ca="1" si="5"/>
        <v>#NAME?</v>
      </c>
      <c r="G166" s="15" t="e">
        <f t="shared" ca="1" si="6"/>
        <v>#NAME?</v>
      </c>
    </row>
    <row r="167" spans="3:7" x14ac:dyDescent="0.2">
      <c r="C167" s="13" t="e">
        <f ca="1">nullrep([0]!sumextralines)+nullrep([0]!sumextralines)</f>
        <v>#NAME?</v>
      </c>
      <c r="D167" s="12" t="e">
        <f ca="1">IF(C167&lt;&gt;0,C167+(ROWS(C$2:C167)/1000*(C167&lt;&gt;0)),"")</f>
        <v>#NAME?</v>
      </c>
      <c r="E167" s="12" t="e">
        <f ca="1">MATCH(SMALL(D:D,COUNTIF(D:D,0)+ROWS(D$2:D167)),D:D,0)</f>
        <v>#NAME?</v>
      </c>
      <c r="F167" s="14" t="e">
        <f t="shared" ca="1" si="5"/>
        <v>#NAME?</v>
      </c>
      <c r="G167" s="15" t="e">
        <f t="shared" ca="1" si="6"/>
        <v>#NAME?</v>
      </c>
    </row>
    <row r="168" spans="3:7" x14ac:dyDescent="0.2">
      <c r="C168" s="13" t="e">
        <f ca="1">nullrep([0]!sumextralines)+nullrep([0]!sumextralines)</f>
        <v>#NAME?</v>
      </c>
      <c r="D168" s="12" t="e">
        <f ca="1">IF(C168&lt;&gt;0,C168+(ROWS(C$2:C168)/1000*(C168&lt;&gt;0)),"")</f>
        <v>#NAME?</v>
      </c>
      <c r="E168" s="12" t="e">
        <f ca="1">MATCH(SMALL(D:D,COUNTIF(D:D,0)+ROWS(D$2:D168)),D:D,0)</f>
        <v>#NAME?</v>
      </c>
      <c r="F168" s="14" t="e">
        <f t="shared" ca="1" si="5"/>
        <v>#NAME?</v>
      </c>
      <c r="G168" s="15" t="e">
        <f t="shared" ca="1" si="6"/>
        <v>#NAME?</v>
      </c>
    </row>
    <row r="169" spans="3:7" x14ac:dyDescent="0.2">
      <c r="C169" s="13" t="e">
        <f ca="1">nullrep([0]!sumextralines)+nullrep([0]!sumextralines)</f>
        <v>#NAME?</v>
      </c>
      <c r="D169" s="12" t="e">
        <f ca="1">IF(C169&lt;&gt;0,C169+(ROWS(C$2:C169)/1000*(C169&lt;&gt;0)),"")</f>
        <v>#NAME?</v>
      </c>
      <c r="E169" s="12" t="e">
        <f ca="1">MATCH(SMALL(D:D,COUNTIF(D:D,0)+ROWS(D$2:D169)),D:D,0)</f>
        <v>#NAME?</v>
      </c>
      <c r="F169" s="14" t="e">
        <f t="shared" ca="1" si="5"/>
        <v>#NAME?</v>
      </c>
      <c r="G169" s="15" t="e">
        <f t="shared" ca="1" si="6"/>
        <v>#NAME?</v>
      </c>
    </row>
    <row r="170" spans="3:7" x14ac:dyDescent="0.2">
      <c r="C170" s="13" t="e">
        <f ca="1">nullrep([0]!sumextralines)+nullrep([0]!sumextralines)</f>
        <v>#NAME?</v>
      </c>
      <c r="D170" s="12" t="e">
        <f ca="1">IF(C170&lt;&gt;0,C170+(ROWS(C$2:C170)/1000*(C170&lt;&gt;0)),"")</f>
        <v>#NAME?</v>
      </c>
      <c r="E170" s="12" t="e">
        <f ca="1">MATCH(SMALL(D:D,COUNTIF(D:D,0)+ROWS(D$2:D170)),D:D,0)</f>
        <v>#NAME?</v>
      </c>
      <c r="F170" s="14" t="e">
        <f t="shared" ca="1" si="5"/>
        <v>#NAME?</v>
      </c>
      <c r="G170" s="15" t="e">
        <f t="shared" ca="1" si="6"/>
        <v>#NAME?</v>
      </c>
    </row>
    <row r="171" spans="3:7" x14ac:dyDescent="0.2">
      <c r="C171" s="13" t="e">
        <f ca="1">nullrep([0]!sumextralines)+nullrep([0]!sumextralines)</f>
        <v>#NAME?</v>
      </c>
      <c r="D171" s="12" t="e">
        <f ca="1">IF(C171&lt;&gt;0,C171+(ROWS(C$2:C171)/1000*(C171&lt;&gt;0)),"")</f>
        <v>#NAME?</v>
      </c>
      <c r="E171" s="12" t="e">
        <f ca="1">MATCH(SMALL(D:D,COUNTIF(D:D,0)+ROWS(D$2:D171)),D:D,0)</f>
        <v>#NAME?</v>
      </c>
      <c r="F171" s="14" t="e">
        <f t="shared" ca="1" si="5"/>
        <v>#NAME?</v>
      </c>
      <c r="G171" s="15" t="e">
        <f t="shared" ca="1" si="6"/>
        <v>#NAME?</v>
      </c>
    </row>
    <row r="172" spans="3:7" x14ac:dyDescent="0.2">
      <c r="C172" s="13" t="e">
        <f ca="1">nullrep([0]!sumextralines)+nullrep([0]!sumextralines)</f>
        <v>#NAME?</v>
      </c>
      <c r="D172" s="12" t="e">
        <f ca="1">IF(C172&lt;&gt;0,C172+(ROWS(C$2:C172)/1000*(C172&lt;&gt;0)),"")</f>
        <v>#NAME?</v>
      </c>
      <c r="E172" s="12" t="e">
        <f ca="1">MATCH(SMALL(D:D,COUNTIF(D:D,0)+ROWS(D$2:D172)),D:D,0)</f>
        <v>#NAME?</v>
      </c>
      <c r="F172" s="14" t="e">
        <f t="shared" ca="1" si="5"/>
        <v>#NAME?</v>
      </c>
      <c r="G172" s="15" t="e">
        <f t="shared" ca="1" si="6"/>
        <v>#NAME?</v>
      </c>
    </row>
    <row r="173" spans="3:7" x14ac:dyDescent="0.2">
      <c r="C173" s="13" t="e">
        <f ca="1">nullrep([0]!sumextralines)+nullrep([0]!sumextralines)</f>
        <v>#NAME?</v>
      </c>
      <c r="D173" s="12" t="e">
        <f ca="1">IF(C173&lt;&gt;0,C173+(ROWS(C$2:C173)/1000*(C173&lt;&gt;0)),"")</f>
        <v>#NAME?</v>
      </c>
      <c r="E173" s="12" t="e">
        <f ca="1">MATCH(SMALL(D:D,COUNTIF(D:D,0)+ROWS(D$2:D173)),D:D,0)</f>
        <v>#NAME?</v>
      </c>
      <c r="F173" s="14" t="e">
        <f t="shared" ca="1" si="5"/>
        <v>#NAME?</v>
      </c>
      <c r="G173" s="15" t="e">
        <f t="shared" ca="1" si="6"/>
        <v>#NAME?</v>
      </c>
    </row>
    <row r="174" spans="3:7" x14ac:dyDescent="0.2">
      <c r="C174" s="13" t="e">
        <f ca="1">nullrep([0]!sumextralines)+nullrep([0]!sumextralines)</f>
        <v>#NAME?</v>
      </c>
      <c r="D174" s="12" t="e">
        <f ca="1">IF(C174&lt;&gt;0,C174+(ROWS(C$2:C174)/1000*(C174&lt;&gt;0)),"")</f>
        <v>#NAME?</v>
      </c>
      <c r="E174" s="12" t="e">
        <f ca="1">MATCH(SMALL(D:D,COUNTIF(D:D,0)+ROWS(D$2:D174)),D:D,0)</f>
        <v>#NAME?</v>
      </c>
      <c r="F174" s="14" t="e">
        <f t="shared" ca="1" si="5"/>
        <v>#NAME?</v>
      </c>
      <c r="G174" s="15" t="e">
        <f t="shared" ca="1" si="6"/>
        <v>#NAME?</v>
      </c>
    </row>
    <row r="175" spans="3:7" x14ac:dyDescent="0.2">
      <c r="C175" s="13" t="e">
        <f ca="1">nullrep([0]!sumextralines)+nullrep([0]!sumextralines)</f>
        <v>#NAME?</v>
      </c>
      <c r="D175" s="12" t="e">
        <f ca="1">IF(C175&lt;&gt;0,C175+(ROWS(C$2:C175)/1000*(C175&lt;&gt;0)),"")</f>
        <v>#NAME?</v>
      </c>
      <c r="E175" s="12" t="e">
        <f ca="1">MATCH(SMALL(D:D,COUNTIF(D:D,0)+ROWS(D$2:D175)),D:D,0)</f>
        <v>#NAME?</v>
      </c>
      <c r="F175" s="14" t="e">
        <f t="shared" ca="1" si="5"/>
        <v>#NAME?</v>
      </c>
      <c r="G175" s="15" t="e">
        <f t="shared" ca="1" si="6"/>
        <v>#NAME?</v>
      </c>
    </row>
    <row r="176" spans="3:7" x14ac:dyDescent="0.2">
      <c r="C176" s="13" t="e">
        <f ca="1">nullrep([0]!sumextralines)+nullrep([0]!sumextralines)</f>
        <v>#NAME?</v>
      </c>
      <c r="D176" s="12" t="e">
        <f ca="1">IF(C176&lt;&gt;0,C176+(ROWS(C$2:C176)/1000*(C176&lt;&gt;0)),"")</f>
        <v>#NAME?</v>
      </c>
      <c r="E176" s="12" t="e">
        <f ca="1">MATCH(SMALL(D:D,COUNTIF(D:D,0)+ROWS(D$2:D176)),D:D,0)</f>
        <v>#NAME?</v>
      </c>
      <c r="F176" s="14" t="e">
        <f t="shared" ca="1" si="5"/>
        <v>#NAME?</v>
      </c>
      <c r="G176" s="15" t="e">
        <f t="shared" ca="1" si="6"/>
        <v>#NAME?</v>
      </c>
    </row>
    <row r="177" spans="3:7" x14ac:dyDescent="0.2">
      <c r="C177" s="13" t="e">
        <f ca="1">nullrep([0]!sumextralines)+nullrep([0]!sumextralines)</f>
        <v>#NAME?</v>
      </c>
      <c r="D177" s="12" t="e">
        <f ca="1">IF(C177&lt;&gt;0,C177+(ROWS(C$2:C177)/1000*(C177&lt;&gt;0)),"")</f>
        <v>#NAME?</v>
      </c>
      <c r="E177" s="12" t="e">
        <f ca="1">MATCH(SMALL(D:D,COUNTIF(D:D,0)+ROWS(D$2:D177)),D:D,0)</f>
        <v>#NAME?</v>
      </c>
      <c r="F177" s="14" t="e">
        <f t="shared" ca="1" si="5"/>
        <v>#NAME?</v>
      </c>
      <c r="G177" s="15" t="e">
        <f t="shared" ca="1" si="6"/>
        <v>#NAME?</v>
      </c>
    </row>
    <row r="178" spans="3:7" x14ac:dyDescent="0.2">
      <c r="C178" s="13" t="e">
        <f ca="1">nullrep([0]!sumextralines)+nullrep([0]!sumextralines)</f>
        <v>#NAME?</v>
      </c>
      <c r="D178" s="12" t="e">
        <f ca="1">IF(C178&lt;&gt;0,C178+(ROWS(C$2:C178)/1000*(C178&lt;&gt;0)),"")</f>
        <v>#NAME?</v>
      </c>
      <c r="E178" s="12" t="e">
        <f ca="1">MATCH(SMALL(D:D,COUNTIF(D:D,0)+ROWS(D$2:D178)),D:D,0)</f>
        <v>#NAME?</v>
      </c>
      <c r="F178" s="14" t="e">
        <f t="shared" ca="1" si="5"/>
        <v>#NAME?</v>
      </c>
      <c r="G178" s="15" t="e">
        <f t="shared" ca="1" si="6"/>
        <v>#NAME?</v>
      </c>
    </row>
    <row r="179" spans="3:7" x14ac:dyDescent="0.2">
      <c r="C179" s="13" t="e">
        <f ca="1">nullrep([0]!sumextralines)+nullrep([0]!sumextralines)</f>
        <v>#NAME?</v>
      </c>
      <c r="D179" s="12" t="e">
        <f ca="1">IF(C179&lt;&gt;0,C179+(ROWS(C$2:C179)/1000*(C179&lt;&gt;0)),"")</f>
        <v>#NAME?</v>
      </c>
      <c r="E179" s="12" t="e">
        <f ca="1">MATCH(SMALL(D:D,COUNTIF(D:D,0)+ROWS(D$2:D179)),D:D,0)</f>
        <v>#NAME?</v>
      </c>
      <c r="F179" s="14" t="e">
        <f t="shared" ca="1" si="5"/>
        <v>#NAME?</v>
      </c>
      <c r="G179" s="15" t="e">
        <f t="shared" ca="1" si="6"/>
        <v>#NAME?</v>
      </c>
    </row>
    <row r="180" spans="3:7" x14ac:dyDescent="0.2">
      <c r="C180" s="13" t="e">
        <f ca="1">nullrep([0]!sumextralines)+nullrep([0]!sumextralines)</f>
        <v>#NAME?</v>
      </c>
      <c r="D180" s="12" t="e">
        <f ca="1">IF(C180&lt;&gt;0,C180+(ROWS(C$2:C180)/1000*(C180&lt;&gt;0)),"")</f>
        <v>#NAME?</v>
      </c>
      <c r="E180" s="12" t="e">
        <f ca="1">MATCH(SMALL(D:D,COUNTIF(D:D,0)+ROWS(D$2:D180)),D:D,0)</f>
        <v>#NAME?</v>
      </c>
      <c r="F180" s="14" t="e">
        <f t="shared" ca="1" si="5"/>
        <v>#NAME?</v>
      </c>
      <c r="G180" s="15" t="e">
        <f t="shared" ca="1" si="6"/>
        <v>#NAME?</v>
      </c>
    </row>
    <row r="181" spans="3:7" x14ac:dyDescent="0.2">
      <c r="C181" s="13" t="e">
        <f ca="1">nullrep([0]!sumextralines)+nullrep([0]!sumextralines)</f>
        <v>#NAME?</v>
      </c>
      <c r="D181" s="12" t="e">
        <f ca="1">IF(C181&lt;&gt;0,C181+(ROWS(C$2:C181)/1000*(C181&lt;&gt;0)),"")</f>
        <v>#NAME?</v>
      </c>
      <c r="E181" s="12" t="e">
        <f ca="1">MATCH(SMALL(D:D,COUNTIF(D:D,0)+ROWS(D$2:D181)),D:D,0)</f>
        <v>#NAME?</v>
      </c>
      <c r="F181" s="14" t="e">
        <f t="shared" ca="1" si="5"/>
        <v>#NAME?</v>
      </c>
      <c r="G181" s="15" t="e">
        <f t="shared" ca="1" si="6"/>
        <v>#NAME?</v>
      </c>
    </row>
    <row r="182" spans="3:7" x14ac:dyDescent="0.2">
      <c r="C182" s="13" t="e">
        <f ca="1">nullrep([0]!sumextralines)+nullrep([0]!sumextralines)</f>
        <v>#NAME?</v>
      </c>
      <c r="D182" s="12" t="e">
        <f ca="1">IF(C182&lt;&gt;0,C182+(ROWS(C$2:C182)/1000*(C182&lt;&gt;0)),"")</f>
        <v>#NAME?</v>
      </c>
      <c r="E182" s="12" t="e">
        <f ca="1">MATCH(SMALL(D:D,COUNTIF(D:D,0)+ROWS(D$2:D182)),D:D,0)</f>
        <v>#NAME?</v>
      </c>
      <c r="F182" s="14" t="e">
        <f t="shared" ca="1" si="5"/>
        <v>#NAME?</v>
      </c>
      <c r="G182" s="15" t="e">
        <f t="shared" ca="1" si="6"/>
        <v>#NAME?</v>
      </c>
    </row>
    <row r="183" spans="3:7" x14ac:dyDescent="0.2">
      <c r="C183" s="13" t="e">
        <f ca="1">nullrep([0]!sumextralines)+nullrep([0]!sumextralines)</f>
        <v>#NAME?</v>
      </c>
      <c r="D183" s="12" t="e">
        <f ca="1">IF(C183&lt;&gt;0,C183+(ROWS(C$2:C183)/1000*(C183&lt;&gt;0)),"")</f>
        <v>#NAME?</v>
      </c>
      <c r="E183" s="12" t="e">
        <f ca="1">MATCH(SMALL(D:D,COUNTIF(D:D,0)+ROWS(D$2:D183)),D:D,0)</f>
        <v>#NAME?</v>
      </c>
      <c r="F183" s="14" t="e">
        <f t="shared" ca="1" si="5"/>
        <v>#NAME?</v>
      </c>
      <c r="G183" s="15" t="e">
        <f t="shared" ca="1" si="6"/>
        <v>#NAME?</v>
      </c>
    </row>
    <row r="184" spans="3:7" x14ac:dyDescent="0.2">
      <c r="C184" s="13" t="e">
        <f ca="1">nullrep([0]!sumextralines)+nullrep([0]!sumextralines)</f>
        <v>#NAME?</v>
      </c>
      <c r="D184" s="12" t="e">
        <f ca="1">IF(C184&lt;&gt;0,C184+(ROWS(C$2:C184)/1000*(C184&lt;&gt;0)),"")</f>
        <v>#NAME?</v>
      </c>
      <c r="E184" s="12" t="e">
        <f ca="1">MATCH(SMALL(D:D,COUNTIF(D:D,0)+ROWS(D$2:D184)),D:D,0)</f>
        <v>#NAME?</v>
      </c>
      <c r="F184" s="14" t="e">
        <f t="shared" ca="1" si="5"/>
        <v>#NAME?</v>
      </c>
      <c r="G184" s="15" t="e">
        <f t="shared" ca="1" si="6"/>
        <v>#NAME?</v>
      </c>
    </row>
    <row r="185" spans="3:7" x14ac:dyDescent="0.2">
      <c r="C185" s="13" t="e">
        <f ca="1">nullrep([0]!sumextralines)+nullrep([0]!sumextralines)</f>
        <v>#NAME?</v>
      </c>
      <c r="D185" s="12" t="e">
        <f ca="1">IF(C185&lt;&gt;0,C185+(ROWS(C$2:C185)/1000*(C185&lt;&gt;0)),"")</f>
        <v>#NAME?</v>
      </c>
      <c r="E185" s="12" t="e">
        <f ca="1">MATCH(SMALL(D:D,COUNTIF(D:D,0)+ROWS(D$2:D185)),D:D,0)</f>
        <v>#NAME?</v>
      </c>
      <c r="F185" s="14" t="e">
        <f t="shared" ca="1" si="5"/>
        <v>#NAME?</v>
      </c>
      <c r="G185" s="15" t="e">
        <f t="shared" ca="1" si="6"/>
        <v>#NAME?</v>
      </c>
    </row>
    <row r="186" spans="3:7" x14ac:dyDescent="0.2">
      <c r="C186" s="13" t="e">
        <f ca="1">nullrep([0]!sumextralines)+nullrep([0]!sumextralines)</f>
        <v>#NAME?</v>
      </c>
      <c r="D186" s="12" t="e">
        <f ca="1">IF(C186&lt;&gt;0,C186+(ROWS(C$2:C186)/1000*(C186&lt;&gt;0)),"")</f>
        <v>#NAME?</v>
      </c>
      <c r="E186" s="12" t="e">
        <f ca="1">MATCH(SMALL(D:D,COUNTIF(D:D,0)+ROWS(D$2:D186)),D:D,0)</f>
        <v>#NAME?</v>
      </c>
      <c r="F186" s="14" t="e">
        <f t="shared" ca="1" si="5"/>
        <v>#NAME?</v>
      </c>
      <c r="G186" s="15" t="e">
        <f t="shared" ca="1" si="6"/>
        <v>#NAME?</v>
      </c>
    </row>
    <row r="187" spans="3:7" x14ac:dyDescent="0.2">
      <c r="C187" s="13" t="e">
        <f ca="1">nullrep([0]!sumextralines)+nullrep([0]!sumextralines)</f>
        <v>#NAME?</v>
      </c>
      <c r="D187" s="12" t="e">
        <f ca="1">IF(C187&lt;&gt;0,C187+(ROWS(C$2:C187)/1000*(C187&lt;&gt;0)),"")</f>
        <v>#NAME?</v>
      </c>
      <c r="E187" s="12" t="e">
        <f ca="1">MATCH(SMALL(D:D,COUNTIF(D:D,0)+ROWS(D$2:D187)),D:D,0)</f>
        <v>#NAME?</v>
      </c>
      <c r="F187" s="14" t="e">
        <f t="shared" ca="1" si="5"/>
        <v>#NAME?</v>
      </c>
      <c r="G187" s="15" t="e">
        <f t="shared" ca="1" si="6"/>
        <v>#NAME?</v>
      </c>
    </row>
    <row r="188" spans="3:7" x14ac:dyDescent="0.2">
      <c r="C188" s="13" t="e">
        <f ca="1">nullrep([0]!sumextralines)+nullrep([0]!sumextralines)</f>
        <v>#NAME?</v>
      </c>
      <c r="D188" s="12" t="e">
        <f ca="1">IF(C188&lt;&gt;0,C188+(ROWS(C$2:C188)/1000*(C188&lt;&gt;0)),"")</f>
        <v>#NAME?</v>
      </c>
      <c r="E188" s="12" t="e">
        <f ca="1">MATCH(SMALL(D:D,COUNTIF(D:D,0)+ROWS(D$2:D188)),D:D,0)</f>
        <v>#NAME?</v>
      </c>
      <c r="F188" s="14" t="e">
        <f ca="1">OFFSET($B$1,E188-1,1,1,1)</f>
        <v>#NAME?</v>
      </c>
      <c r="G188" s="15" t="e">
        <f ca="1">OFFSET($B$1,E188-1,0,1,1)</f>
        <v>#NAME?</v>
      </c>
    </row>
    <row r="189" spans="3:7" x14ac:dyDescent="0.2">
      <c r="C189" s="13" t="e">
        <f ca="1">nullrep([0]!sumextralines)+nullrep([0]!sumextralines)</f>
        <v>#NAME?</v>
      </c>
      <c r="D189" s="12" t="e">
        <f ca="1">IF(C189&lt;&gt;0,C189+(ROWS(C$2:C189)/1000*(C189&lt;&gt;0)),"")</f>
        <v>#NAME?</v>
      </c>
      <c r="E189" s="12" t="e">
        <f ca="1">MATCH(SMALL(D:D,COUNTIF(D:D,0)+ROWS(D$2:D189)),D:D,0)</f>
        <v>#NAME?</v>
      </c>
      <c r="F189" s="14" t="e">
        <f ca="1">OFFSET($B$1,E189-1,1,1,1)</f>
        <v>#NAME?</v>
      </c>
      <c r="G189" s="15" t="e">
        <f ca="1">OFFSET($B$1,E189-1,0,1,1)</f>
        <v>#NAME?</v>
      </c>
    </row>
    <row r="190" spans="3:7" x14ac:dyDescent="0.2">
      <c r="C190" s="13" t="e">
        <f ca="1">nullrep([0]!sumextralines)+nullrep([0]!sumextralines)</f>
        <v>#NAME?</v>
      </c>
      <c r="D190" s="12" t="e">
        <f ca="1">IF(C190&lt;&gt;0,C190+(ROWS(C$2:C190)/1000*(C190&lt;&gt;0)),"")</f>
        <v>#NAME?</v>
      </c>
      <c r="E190" s="12" t="e">
        <f ca="1">MATCH(SMALL(D:D,COUNTIF(D:D,0)+ROWS(D$2:D190)),D:D,0)</f>
        <v>#NAME?</v>
      </c>
      <c r="F190" s="14" t="e">
        <f ca="1">OFFSET($B$1,E190-1,1,1,1)</f>
        <v>#NAME?</v>
      </c>
      <c r="G190" s="15" t="e">
        <f ca="1">OFFSET($B$1,E190-1,0,1,1)</f>
        <v>#NAME?</v>
      </c>
    </row>
  </sheetData>
  <sheetProtection password="D78B" sheet="1" scenarios="1"/>
  <dataConsolidate/>
  <phoneticPr fontId="4" type="noConversion"/>
  <pageMargins left="0.75" right="0.75" top="1" bottom="1" header="0.5" footer="0.5"/>
  <pageSetup paperSize="9" orientation="portrait" horizontalDpi="300" verticalDpi="0" r:id="rId2"/>
  <headerFooter alignWithMargins="0"/>
  <drawing r:id="rId3"/>
  <legacyDrawing r:id="rId4"/>
  <oleObjects>
    <mc:AlternateContent xmlns:mc="http://schemas.openxmlformats.org/markup-compatibility/2006">
      <mc:Choice Requires="x14">
        <oleObject progId="Document" dvAspect="DVASPECT_ICON" shapeId="91401" r:id="rId5">
          <objectPr defaultSize="0" r:id="rId6">
            <anchor moveWithCells="1">
              <from>
                <xdr:col>9</xdr:col>
                <xdr:colOff>19050</xdr:colOff>
                <xdr:row>23</xdr:row>
                <xdr:rowOff>104775</xdr:rowOff>
              </from>
              <to>
                <xdr:col>9</xdr:col>
                <xdr:colOff>933450</xdr:colOff>
                <xdr:row>28</xdr:row>
                <xdr:rowOff>9525</xdr:rowOff>
              </to>
            </anchor>
          </objectPr>
        </oleObject>
      </mc:Choice>
      <mc:Fallback>
        <oleObject progId="Document" dvAspect="DVASPECT_ICON" shapeId="91401"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indexed="26"/>
    <pageSetUpPr fitToPage="1"/>
  </sheetPr>
  <dimension ref="B2:Q87"/>
  <sheetViews>
    <sheetView showRowColHeaders="0" zoomScale="85" zoomScaleNormal="85" workbookViewId="0">
      <pane ySplit="3" topLeftCell="A4" activePane="bottomLeft" state="frozen"/>
      <selection pane="bottomLeft"/>
    </sheetView>
  </sheetViews>
  <sheetFormatPr defaultRowHeight="12.75" x14ac:dyDescent="0.2"/>
  <cols>
    <col min="1" max="1" width="2.5703125" style="1" customWidth="1"/>
    <col min="2" max="2" width="2.7109375" style="1" customWidth="1"/>
    <col min="3" max="3" width="18.5703125" style="1" customWidth="1"/>
    <col min="4" max="16" width="9.140625" style="1"/>
    <col min="17" max="17" width="12.5703125" style="1" customWidth="1"/>
    <col min="18" max="16384" width="9.140625" style="1"/>
  </cols>
  <sheetData>
    <row r="2" spans="7:13" ht="20.25" x14ac:dyDescent="0.3">
      <c r="G2" s="302" t="s">
        <v>211</v>
      </c>
      <c r="H2" s="303"/>
      <c r="I2" s="303"/>
      <c r="J2" s="303"/>
      <c r="K2" s="303"/>
      <c r="L2" s="303"/>
      <c r="M2" s="303"/>
    </row>
    <row r="3" spans="7:13" ht="18" customHeight="1" x14ac:dyDescent="0.2"/>
    <row r="4" spans="7:13" ht="7.5" customHeight="1" x14ac:dyDescent="0.2"/>
    <row r="61" spans="2:17" ht="12.75" customHeight="1" x14ac:dyDescent="0.2"/>
    <row r="62" spans="2:17" ht="13.5" thickBot="1" x14ac:dyDescent="0.25"/>
    <row r="63" spans="2:17" x14ac:dyDescent="0.2">
      <c r="B63" s="80"/>
      <c r="C63" s="81"/>
      <c r="D63" s="81"/>
      <c r="E63" s="81"/>
      <c r="F63" s="81"/>
      <c r="G63" s="81"/>
      <c r="H63" s="81"/>
      <c r="I63" s="81"/>
      <c r="J63" s="81"/>
      <c r="K63" s="81"/>
      <c r="L63" s="81"/>
      <c r="M63" s="81"/>
      <c r="N63" s="81"/>
      <c r="O63" s="81"/>
      <c r="P63" s="81"/>
      <c r="Q63" s="82"/>
    </row>
    <row r="64" spans="2:17" ht="15" x14ac:dyDescent="0.2">
      <c r="B64" s="83"/>
      <c r="C64" s="90" t="s">
        <v>207</v>
      </c>
      <c r="D64" s="89"/>
      <c r="E64" s="4"/>
      <c r="F64" s="4"/>
      <c r="G64" s="4"/>
      <c r="H64" s="4"/>
      <c r="I64" s="4"/>
      <c r="J64" s="4"/>
      <c r="K64" s="4"/>
      <c r="L64" s="4"/>
      <c r="M64" s="4"/>
      <c r="N64" s="4"/>
      <c r="O64" s="4"/>
      <c r="P64" s="4"/>
      <c r="Q64" s="84"/>
    </row>
    <row r="65" spans="2:17" ht="15" x14ac:dyDescent="0.2">
      <c r="B65" s="83"/>
      <c r="C65" s="88">
        <f>FM1_Mother!O107+'FM3_Child A'!O107</f>
        <v>0</v>
      </c>
      <c r="D65" s="5"/>
      <c r="E65" s="4"/>
      <c r="F65" s="4"/>
      <c r="G65" s="4"/>
      <c r="H65" s="4"/>
      <c r="I65" s="4"/>
      <c r="J65" s="4"/>
      <c r="K65" s="4"/>
      <c r="L65" s="4"/>
      <c r="M65" s="4"/>
      <c r="N65" s="4"/>
      <c r="O65" s="4"/>
      <c r="P65" s="4"/>
      <c r="Q65" s="84"/>
    </row>
    <row r="66" spans="2:17" ht="15" x14ac:dyDescent="0.2">
      <c r="B66" s="83"/>
      <c r="C66" s="91" t="s">
        <v>208</v>
      </c>
      <c r="D66" s="5"/>
      <c r="E66" s="4"/>
      <c r="F66" s="4"/>
      <c r="G66" s="4"/>
      <c r="H66" s="4"/>
      <c r="I66" s="4"/>
      <c r="J66" s="4"/>
      <c r="K66" s="4"/>
      <c r="L66" s="4"/>
      <c r="M66" s="4"/>
      <c r="N66" s="4"/>
      <c r="O66" s="4"/>
      <c r="P66" s="4"/>
      <c r="Q66" s="84"/>
    </row>
    <row r="67" spans="2:17" ht="15" x14ac:dyDescent="0.2">
      <c r="B67" s="83"/>
      <c r="C67" s="88">
        <f>FM1_Mother!P107+'FM3_Child A'!P107</f>
        <v>0</v>
      </c>
      <c r="D67" s="5"/>
      <c r="E67" s="4"/>
      <c r="F67" s="4"/>
      <c r="G67" s="4"/>
      <c r="H67" s="4"/>
      <c r="I67" s="4"/>
      <c r="J67" s="4"/>
      <c r="K67" s="4"/>
      <c r="L67" s="4"/>
      <c r="M67" s="4"/>
      <c r="N67" s="4"/>
      <c r="O67" s="4"/>
      <c r="P67" s="4"/>
      <c r="Q67" s="84"/>
    </row>
    <row r="68" spans="2:17" ht="15" x14ac:dyDescent="0.2">
      <c r="B68" s="83"/>
      <c r="C68" s="91" t="s">
        <v>209</v>
      </c>
      <c r="D68" s="5"/>
      <c r="E68" s="4"/>
      <c r="F68" s="4"/>
      <c r="G68" s="4"/>
      <c r="H68" s="4"/>
      <c r="I68" s="4"/>
      <c r="J68" s="4"/>
      <c r="K68" s="4"/>
      <c r="L68" s="4"/>
      <c r="M68" s="4"/>
      <c r="N68" s="4"/>
      <c r="O68" s="4"/>
      <c r="P68" s="4"/>
      <c r="Q68" s="84"/>
    </row>
    <row r="69" spans="2:17" ht="15.75" x14ac:dyDescent="0.25">
      <c r="B69" s="83"/>
      <c r="C69" s="273">
        <f>precost-postcost</f>
        <v>0</v>
      </c>
      <c r="D69" s="272"/>
      <c r="E69" s="4"/>
      <c r="F69" s="4"/>
      <c r="G69" s="4"/>
      <c r="H69" s="4"/>
      <c r="I69" s="4"/>
      <c r="J69" s="4"/>
      <c r="K69" s="4"/>
      <c r="L69" s="4"/>
      <c r="M69" s="4"/>
      <c r="N69" s="4"/>
      <c r="O69" s="4"/>
      <c r="P69" s="4"/>
      <c r="Q69" s="84"/>
    </row>
    <row r="70" spans="2:17" x14ac:dyDescent="0.2">
      <c r="B70" s="83"/>
      <c r="C70" s="4"/>
      <c r="D70" s="4"/>
      <c r="E70" s="4"/>
      <c r="F70" s="4"/>
      <c r="G70" s="4"/>
      <c r="H70" s="4"/>
      <c r="I70" s="4"/>
      <c r="J70" s="4"/>
      <c r="K70" s="4"/>
      <c r="L70" s="4"/>
      <c r="M70" s="4"/>
      <c r="N70" s="4"/>
      <c r="O70" s="4"/>
      <c r="P70" s="4"/>
      <c r="Q70" s="84"/>
    </row>
    <row r="71" spans="2:17" x14ac:dyDescent="0.2">
      <c r="B71" s="83"/>
      <c r="C71" s="4"/>
      <c r="D71" s="4"/>
      <c r="E71" s="4"/>
      <c r="F71" s="4"/>
      <c r="G71" s="4"/>
      <c r="H71" s="4"/>
      <c r="I71" s="4"/>
      <c r="J71" s="4"/>
      <c r="K71" s="4"/>
      <c r="L71" s="4"/>
      <c r="M71" s="4"/>
      <c r="N71" s="4"/>
      <c r="O71" s="4"/>
      <c r="P71" s="4"/>
      <c r="Q71" s="84"/>
    </row>
    <row r="72" spans="2:17" x14ac:dyDescent="0.2">
      <c r="B72" s="83"/>
      <c r="C72" s="4"/>
      <c r="D72" s="4"/>
      <c r="E72" s="4"/>
      <c r="F72" s="4"/>
      <c r="G72" s="4"/>
      <c r="H72" s="4"/>
      <c r="I72" s="4"/>
      <c r="J72" s="4"/>
      <c r="K72" s="4"/>
      <c r="L72" s="4"/>
      <c r="M72" s="4"/>
      <c r="N72" s="4"/>
      <c r="O72" s="4"/>
      <c r="P72" s="4"/>
      <c r="Q72" s="84"/>
    </row>
    <row r="73" spans="2:17" x14ac:dyDescent="0.2">
      <c r="B73" s="83"/>
      <c r="C73" s="4"/>
      <c r="D73" s="4"/>
      <c r="E73" s="4"/>
      <c r="F73" s="4"/>
      <c r="G73" s="4"/>
      <c r="H73" s="4"/>
      <c r="I73" s="4"/>
      <c r="J73" s="4"/>
      <c r="K73" s="4"/>
      <c r="L73" s="4"/>
      <c r="M73" s="4"/>
      <c r="N73" s="4"/>
      <c r="O73" s="4"/>
      <c r="P73" s="4"/>
      <c r="Q73" s="84"/>
    </row>
    <row r="74" spans="2:17" x14ac:dyDescent="0.2">
      <c r="B74" s="83"/>
      <c r="C74" s="4"/>
      <c r="D74" s="4"/>
      <c r="E74" s="4"/>
      <c r="F74" s="4"/>
      <c r="G74" s="4"/>
      <c r="H74" s="4"/>
      <c r="I74" s="4"/>
      <c r="J74" s="4"/>
      <c r="K74" s="4"/>
      <c r="L74" s="4"/>
      <c r="M74" s="4"/>
      <c r="N74" s="4"/>
      <c r="O74" s="4"/>
      <c r="P74" s="4"/>
      <c r="Q74" s="84"/>
    </row>
    <row r="75" spans="2:17" x14ac:dyDescent="0.2">
      <c r="B75" s="83"/>
      <c r="C75" s="4"/>
      <c r="D75" s="4"/>
      <c r="E75" s="4"/>
      <c r="F75" s="4"/>
      <c r="G75" s="4"/>
      <c r="H75" s="4"/>
      <c r="I75" s="4"/>
      <c r="J75" s="4"/>
      <c r="K75" s="4"/>
      <c r="L75" s="4"/>
      <c r="M75" s="4"/>
      <c r="N75" s="4"/>
      <c r="O75" s="4"/>
      <c r="P75" s="4"/>
      <c r="Q75" s="84"/>
    </row>
    <row r="76" spans="2:17" x14ac:dyDescent="0.2">
      <c r="B76" s="83"/>
      <c r="C76" s="4"/>
      <c r="D76" s="4"/>
      <c r="E76" s="4"/>
      <c r="F76" s="4"/>
      <c r="G76" s="4"/>
      <c r="H76" s="4"/>
      <c r="I76" s="4"/>
      <c r="J76" s="4"/>
      <c r="K76" s="4"/>
      <c r="L76" s="4"/>
      <c r="M76" s="4"/>
      <c r="N76" s="4"/>
      <c r="O76" s="4"/>
      <c r="P76" s="4"/>
      <c r="Q76" s="84"/>
    </row>
    <row r="77" spans="2:17" x14ac:dyDescent="0.2">
      <c r="B77" s="83"/>
      <c r="C77" s="4"/>
      <c r="D77" s="4"/>
      <c r="E77" s="4"/>
      <c r="F77" s="4"/>
      <c r="G77" s="4"/>
      <c r="H77" s="4"/>
      <c r="I77" s="4"/>
      <c r="J77" s="4"/>
      <c r="K77" s="4"/>
      <c r="L77" s="4"/>
      <c r="M77" s="4"/>
      <c r="N77" s="4"/>
      <c r="O77" s="4"/>
      <c r="P77" s="4"/>
      <c r="Q77" s="84"/>
    </row>
    <row r="78" spans="2:17" x14ac:dyDescent="0.2">
      <c r="B78" s="83"/>
      <c r="C78" s="4"/>
      <c r="D78" s="4"/>
      <c r="E78" s="4"/>
      <c r="F78" s="4"/>
      <c r="G78" s="4"/>
      <c r="H78" s="4"/>
      <c r="I78" s="4"/>
      <c r="J78" s="4"/>
      <c r="K78" s="4"/>
      <c r="L78" s="4"/>
      <c r="M78" s="4"/>
      <c r="N78" s="4"/>
      <c r="O78" s="4"/>
      <c r="P78" s="4"/>
      <c r="Q78" s="84"/>
    </row>
    <row r="79" spans="2:17" x14ac:dyDescent="0.2">
      <c r="B79" s="83"/>
      <c r="C79" s="4"/>
      <c r="D79" s="4"/>
      <c r="E79" s="4"/>
      <c r="F79" s="4"/>
      <c r="G79" s="4"/>
      <c r="H79" s="4"/>
      <c r="I79" s="4"/>
      <c r="J79" s="4"/>
      <c r="K79" s="4"/>
      <c r="L79" s="4"/>
      <c r="M79" s="4"/>
      <c r="N79" s="4"/>
      <c r="O79" s="4"/>
      <c r="P79" s="4"/>
      <c r="Q79" s="84"/>
    </row>
    <row r="80" spans="2:17" x14ac:dyDescent="0.2">
      <c r="B80" s="83"/>
      <c r="C80" s="4"/>
      <c r="D80" s="4"/>
      <c r="E80" s="4"/>
      <c r="F80" s="4"/>
      <c r="G80" s="4"/>
      <c r="H80" s="4"/>
      <c r="I80" s="4"/>
      <c r="J80" s="4"/>
      <c r="K80" s="4"/>
      <c r="L80" s="4"/>
      <c r="M80" s="4"/>
      <c r="N80" s="4"/>
      <c r="O80" s="4"/>
      <c r="P80" s="4"/>
      <c r="Q80" s="84"/>
    </row>
    <row r="81" spans="2:17" x14ac:dyDescent="0.2">
      <c r="B81" s="83"/>
      <c r="C81" s="4"/>
      <c r="D81" s="4"/>
      <c r="E81" s="4"/>
      <c r="F81" s="4"/>
      <c r="G81" s="4"/>
      <c r="H81" s="4"/>
      <c r="I81" s="4"/>
      <c r="J81" s="4"/>
      <c r="K81" s="4"/>
      <c r="L81" s="4"/>
      <c r="M81" s="4"/>
      <c r="N81" s="4"/>
      <c r="O81" s="4"/>
      <c r="P81" s="4"/>
      <c r="Q81" s="84"/>
    </row>
    <row r="82" spans="2:17" x14ac:dyDescent="0.2">
      <c r="B82" s="83"/>
      <c r="C82" s="4"/>
      <c r="D82" s="4"/>
      <c r="E82" s="4"/>
      <c r="F82" s="4"/>
      <c r="G82" s="4"/>
      <c r="H82" s="4"/>
      <c r="I82" s="4"/>
      <c r="J82" s="4"/>
      <c r="K82" s="4"/>
      <c r="L82" s="4"/>
      <c r="M82" s="4"/>
      <c r="N82" s="4"/>
      <c r="O82" s="4"/>
      <c r="P82" s="4"/>
      <c r="Q82" s="84"/>
    </row>
    <row r="83" spans="2:17" x14ac:dyDescent="0.2">
      <c r="B83" s="83"/>
      <c r="C83" s="4"/>
      <c r="D83" s="4"/>
      <c r="E83" s="4"/>
      <c r="F83" s="4"/>
      <c r="G83" s="4"/>
      <c r="H83" s="4"/>
      <c r="I83" s="4"/>
      <c r="J83" s="4"/>
      <c r="K83" s="4"/>
      <c r="L83" s="4"/>
      <c r="M83" s="4"/>
      <c r="N83" s="4"/>
      <c r="O83" s="4"/>
      <c r="P83" s="4"/>
      <c r="Q83" s="84"/>
    </row>
    <row r="84" spans="2:17" x14ac:dyDescent="0.2">
      <c r="B84" s="83"/>
      <c r="C84" s="4"/>
      <c r="D84" s="4"/>
      <c r="E84" s="4"/>
      <c r="F84" s="4"/>
      <c r="G84" s="4"/>
      <c r="H84" s="4"/>
      <c r="I84" s="4"/>
      <c r="J84" s="4"/>
      <c r="K84" s="4"/>
      <c r="L84" s="4"/>
      <c r="M84" s="4"/>
      <c r="N84" s="4"/>
      <c r="O84" s="4"/>
      <c r="P84" s="4"/>
      <c r="Q84" s="84"/>
    </row>
    <row r="85" spans="2:17" x14ac:dyDescent="0.2">
      <c r="B85" s="83"/>
      <c r="C85" s="4"/>
      <c r="D85" s="4"/>
      <c r="E85" s="4"/>
      <c r="F85" s="4"/>
      <c r="G85" s="4"/>
      <c r="H85" s="4"/>
      <c r="I85" s="4"/>
      <c r="J85" s="4"/>
      <c r="K85" s="4"/>
      <c r="L85" s="4"/>
      <c r="M85" s="4"/>
      <c r="N85" s="4"/>
      <c r="O85" s="4"/>
      <c r="P85" s="4"/>
      <c r="Q85" s="84"/>
    </row>
    <row r="86" spans="2:17" x14ac:dyDescent="0.2">
      <c r="B86" s="83"/>
      <c r="C86" s="4"/>
      <c r="D86" s="4"/>
      <c r="E86" s="4"/>
      <c r="F86" s="4"/>
      <c r="G86" s="4"/>
      <c r="H86" s="4"/>
      <c r="I86" s="4"/>
      <c r="J86" s="4"/>
      <c r="K86" s="4"/>
      <c r="L86" s="4"/>
      <c r="M86" s="4"/>
      <c r="N86" s="4"/>
      <c r="O86" s="4"/>
      <c r="P86" s="4"/>
      <c r="Q86" s="84"/>
    </row>
    <row r="87" spans="2:17" ht="13.5" thickBot="1" x14ac:dyDescent="0.25">
      <c r="B87" s="85"/>
      <c r="C87" s="86"/>
      <c r="D87" s="86"/>
      <c r="E87" s="86"/>
      <c r="F87" s="86"/>
      <c r="G87" s="86"/>
      <c r="H87" s="86"/>
      <c r="I87" s="86"/>
      <c r="J87" s="86"/>
      <c r="K87" s="86"/>
      <c r="L87" s="86"/>
      <c r="M87" s="86"/>
      <c r="N87" s="86"/>
      <c r="O87" s="86"/>
      <c r="P87" s="86"/>
      <c r="Q87" s="87"/>
    </row>
  </sheetData>
  <sheetProtection sheet="1" scenarios="1"/>
  <phoneticPr fontId="4" type="noConversion"/>
  <conditionalFormatting sqref="C69">
    <cfRule type="cellIs" dxfId="8" priority="1" stopIfTrue="1" operator="greaterThanOrEqual">
      <formula>0</formula>
    </cfRule>
    <cfRule type="cellIs" dxfId="7" priority="2" stopIfTrue="1" operator="lessThan">
      <formula>0</formula>
    </cfRule>
  </conditionalFormatting>
  <conditionalFormatting sqref="D69">
    <cfRule type="expression" dxfId="6" priority="3" stopIfTrue="1">
      <formula>$C$69&gt;=0</formula>
    </cfRule>
    <cfRule type="expression" dxfId="5" priority="4" stopIfTrue="1">
      <formula>$C$69&lt;0</formula>
    </cfRule>
  </conditionalFormatting>
  <pageMargins left="0.75" right="0.75" top="1" bottom="1" header="0.5" footer="0.5"/>
  <pageSetup paperSize="9" scale="86" orientation="landscape" r:id="rId1"/>
  <headerFooter alignWithMargins="0"/>
  <drawing r:id="rId2"/>
  <legacyDrawing r:id="rId3"/>
  <controls>
    <mc:AlternateContent xmlns:mc="http://schemas.openxmlformats.org/markup-compatibility/2006">
      <mc:Choice Requires="x14">
        <control shapeId="77830" r:id="rId4" name="imgprepost">
          <controlPr defaultSize="0" autoLine="0" autoPict="0" r:id="rId5">
            <anchor>
              <from>
                <xdr:col>3</xdr:col>
                <xdr:colOff>381000</xdr:colOff>
                <xdr:row>0</xdr:row>
                <xdr:rowOff>66675</xdr:rowOff>
              </from>
              <to>
                <xdr:col>4</xdr:col>
                <xdr:colOff>257175</xdr:colOff>
                <xdr:row>2</xdr:row>
                <xdr:rowOff>57150</xdr:rowOff>
              </to>
            </anchor>
          </controlPr>
        </control>
      </mc:Choice>
      <mc:Fallback>
        <control shapeId="77830" r:id="rId4" name="imgprepost"/>
      </mc:Fallback>
    </mc:AlternateContent>
    <mc:AlternateContent xmlns:mc="http://schemas.openxmlformats.org/markup-compatibility/2006">
      <mc:Choice Requires="x14">
        <control shapeId="77829" r:id="rId6" name="imgtop10">
          <controlPr defaultSize="0" autoLine="0" autoPict="0" r:id="rId7">
            <anchor>
              <from>
                <xdr:col>2</xdr:col>
                <xdr:colOff>990600</xdr:colOff>
                <xdr:row>0</xdr:row>
                <xdr:rowOff>66675</xdr:rowOff>
              </from>
              <to>
                <xdr:col>3</xdr:col>
                <xdr:colOff>266700</xdr:colOff>
                <xdr:row>2</xdr:row>
                <xdr:rowOff>57150</xdr:rowOff>
              </to>
            </anchor>
          </controlPr>
        </control>
      </mc:Choice>
      <mc:Fallback>
        <control shapeId="77829" r:id="rId6" name="imgtop10"/>
      </mc:Fallback>
    </mc:AlternateContent>
    <mc:AlternateContent xmlns:mc="http://schemas.openxmlformats.org/markup-compatibility/2006">
      <mc:Choice Requires="x14">
        <control shapeId="77827" r:id="rId8" name="btnHome1">
          <controlPr autoLine="0" r:id="rId9">
            <anchor>
              <from>
                <xdr:col>1</xdr:col>
                <xdr:colOff>0</xdr:colOff>
                <xdr:row>0</xdr:row>
                <xdr:rowOff>152400</xdr:rowOff>
              </from>
              <to>
                <xdr:col>2</xdr:col>
                <xdr:colOff>733425</xdr:colOff>
                <xdr:row>2</xdr:row>
                <xdr:rowOff>38100</xdr:rowOff>
              </to>
            </anchor>
          </controlPr>
        </control>
      </mc:Choice>
      <mc:Fallback>
        <control shapeId="77827" r:id="rId8" name="btnHome1"/>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26"/>
  </sheetPr>
  <dimension ref="A1:V500"/>
  <sheetViews>
    <sheetView topLeftCell="B10" zoomScale="85" workbookViewId="0">
      <selection activeCell="B75" sqref="B75"/>
    </sheetView>
  </sheetViews>
  <sheetFormatPr defaultRowHeight="12.75" x14ac:dyDescent="0.2"/>
  <cols>
    <col min="1" max="1" width="17" customWidth="1"/>
    <col min="2" max="2" width="16" bestFit="1" customWidth="1"/>
    <col min="5" max="5" width="22.7109375" customWidth="1"/>
    <col min="6" max="6" width="10.28515625" customWidth="1"/>
    <col min="7" max="7" width="10.28515625" bestFit="1" customWidth="1"/>
    <col min="13" max="13" width="27.140625" bestFit="1" customWidth="1"/>
    <col min="14" max="14" width="16.7109375" bestFit="1" customWidth="1"/>
    <col min="17" max="17" width="27.140625" bestFit="1" customWidth="1"/>
    <col min="18" max="18" width="11.5703125" bestFit="1" customWidth="1"/>
    <col min="19" max="19" width="13.28515625" bestFit="1" customWidth="1"/>
  </cols>
  <sheetData>
    <row r="1" spans="1:18" ht="14.25" x14ac:dyDescent="0.2">
      <c r="A1" t="s">
        <v>112</v>
      </c>
      <c r="B1" s="22" t="s">
        <v>113</v>
      </c>
      <c r="C1" t="s">
        <v>151</v>
      </c>
      <c r="E1" s="16"/>
      <c r="F1" s="16"/>
      <c r="G1" s="309"/>
      <c r="H1" s="309"/>
      <c r="I1" s="309"/>
      <c r="J1" s="309"/>
      <c r="K1" s="310"/>
      <c r="M1" s="42" t="s">
        <v>3</v>
      </c>
      <c r="N1" s="69">
        <v>15363.122708527144</v>
      </c>
      <c r="Q1" s="68" t="s">
        <v>3</v>
      </c>
      <c r="R1" s="69">
        <v>15363.122708527144</v>
      </c>
    </row>
    <row r="2" spans="1:18" ht="14.25" x14ac:dyDescent="0.2">
      <c r="A2" t="s">
        <v>341</v>
      </c>
      <c r="B2" s="22">
        <v>83012.460000000006</v>
      </c>
      <c r="C2">
        <v>2</v>
      </c>
      <c r="E2" s="16"/>
      <c r="F2" s="16"/>
      <c r="G2" s="309"/>
      <c r="H2" s="309"/>
      <c r="I2" s="309"/>
      <c r="J2" s="309"/>
      <c r="K2" s="310"/>
      <c r="M2" s="42" t="s">
        <v>54</v>
      </c>
      <c r="N2" s="69">
        <v>320.73748062015488</v>
      </c>
      <c r="Q2" s="68" t="s">
        <v>54</v>
      </c>
      <c r="R2" s="69">
        <v>320.73748062015488</v>
      </c>
    </row>
    <row r="3" spans="1:18" ht="14.25" x14ac:dyDescent="0.2">
      <c r="A3" t="s">
        <v>342</v>
      </c>
      <c r="B3" s="22">
        <v>330747</v>
      </c>
      <c r="C3">
        <v>3</v>
      </c>
      <c r="E3" s="311"/>
      <c r="F3" s="311"/>
      <c r="G3" s="312"/>
      <c r="H3" s="312"/>
      <c r="I3" s="312"/>
      <c r="J3" s="312"/>
      <c r="K3" s="313"/>
      <c r="M3" s="42" t="s">
        <v>23</v>
      </c>
      <c r="N3" s="69">
        <v>34757.141601550487</v>
      </c>
      <c r="Q3" s="68" t="s">
        <v>23</v>
      </c>
      <c r="R3" s="69">
        <v>34757.141601550487</v>
      </c>
    </row>
    <row r="4" spans="1:18" ht="14.25" x14ac:dyDescent="0.2">
      <c r="B4" s="22"/>
      <c r="E4" s="311"/>
      <c r="F4" s="311"/>
      <c r="G4" s="312"/>
      <c r="H4" s="312"/>
      <c r="I4" s="312"/>
      <c r="J4" s="312"/>
      <c r="K4" s="313"/>
      <c r="M4" s="42" t="s">
        <v>37</v>
      </c>
      <c r="N4" s="69">
        <v>673.02034108527164</v>
      </c>
      <c r="Q4" s="68" t="s">
        <v>37</v>
      </c>
      <c r="R4" s="69">
        <v>673.02034108527164</v>
      </c>
    </row>
    <row r="5" spans="1:18" ht="14.25" x14ac:dyDescent="0.2">
      <c r="B5" s="22"/>
      <c r="E5" s="311"/>
      <c r="F5" s="311"/>
      <c r="G5" s="312"/>
      <c r="H5" s="312"/>
      <c r="I5" s="312"/>
      <c r="J5" s="312"/>
      <c r="K5" s="313"/>
      <c r="M5" s="42" t="s">
        <v>25</v>
      </c>
      <c r="N5" s="69">
        <v>9938.8099069767595</v>
      </c>
      <c r="Q5" s="68" t="s">
        <v>25</v>
      </c>
      <c r="R5" s="69">
        <v>9938.8099069767595</v>
      </c>
    </row>
    <row r="6" spans="1:18" ht="14.25" x14ac:dyDescent="0.2">
      <c r="B6" s="22"/>
      <c r="E6" s="311"/>
      <c r="F6" s="311"/>
      <c r="G6" s="312"/>
      <c r="H6" s="312"/>
      <c r="I6" s="312"/>
      <c r="J6" s="312"/>
      <c r="K6" s="313"/>
      <c r="M6" s="42" t="s">
        <v>56</v>
      </c>
      <c r="N6" s="69">
        <v>19017.977790697689</v>
      </c>
      <c r="Q6" s="68" t="s">
        <v>56</v>
      </c>
      <c r="R6" s="69">
        <v>19017.977790697689</v>
      </c>
    </row>
    <row r="7" spans="1:18" ht="14.25" x14ac:dyDescent="0.2">
      <c r="B7" s="22"/>
      <c r="E7" s="311"/>
      <c r="F7" s="311"/>
      <c r="G7" s="312"/>
      <c r="H7" s="312"/>
      <c r="I7" s="312"/>
      <c r="J7" s="312"/>
      <c r="K7" s="313"/>
      <c r="M7" s="42" t="s">
        <v>144</v>
      </c>
      <c r="N7" s="69">
        <v>2422.54</v>
      </c>
      <c r="Q7" s="68" t="s">
        <v>144</v>
      </c>
      <c r="R7" s="69">
        <v>2422.54</v>
      </c>
    </row>
    <row r="8" spans="1:18" ht="14.25" x14ac:dyDescent="0.2">
      <c r="B8" s="22"/>
      <c r="E8" s="311"/>
      <c r="F8" s="311"/>
      <c r="G8" s="312"/>
      <c r="H8" s="312"/>
      <c r="I8" s="312"/>
      <c r="J8" s="312"/>
      <c r="K8" s="313"/>
      <c r="M8" s="68"/>
      <c r="N8" s="69"/>
      <c r="Q8" s="68"/>
      <c r="R8" s="69"/>
    </row>
    <row r="9" spans="1:18" ht="14.25" x14ac:dyDescent="0.2">
      <c r="B9" s="22"/>
      <c r="E9" s="311"/>
      <c r="F9" s="311"/>
      <c r="G9" s="312"/>
      <c r="H9" s="312"/>
      <c r="I9" s="312"/>
      <c r="J9" s="312"/>
      <c r="K9" s="313"/>
      <c r="M9" s="68" t="s">
        <v>9</v>
      </c>
      <c r="N9" s="69">
        <v>78.760387596899221</v>
      </c>
      <c r="Q9" s="68" t="s">
        <v>9</v>
      </c>
      <c r="R9" s="69">
        <v>78.760387596899221</v>
      </c>
    </row>
    <row r="10" spans="1:18" ht="14.25" x14ac:dyDescent="0.2">
      <c r="B10" s="22"/>
      <c r="E10" s="311"/>
      <c r="F10" s="311"/>
      <c r="G10" s="312"/>
      <c r="H10" s="312"/>
      <c r="I10" s="312"/>
      <c r="J10" s="312"/>
      <c r="K10" s="313"/>
      <c r="M10" s="68" t="s">
        <v>21</v>
      </c>
      <c r="N10" s="69">
        <v>86.748181395348837</v>
      </c>
      <c r="Q10" s="68" t="s">
        <v>21</v>
      </c>
      <c r="R10" s="69">
        <v>86.748181395348837</v>
      </c>
    </row>
    <row r="11" spans="1:18" ht="14.25" x14ac:dyDescent="0.2">
      <c r="B11" s="22"/>
      <c r="E11" s="311"/>
      <c r="F11" s="311"/>
      <c r="G11" s="312"/>
      <c r="H11" s="312"/>
      <c r="I11" s="312"/>
      <c r="J11" s="312"/>
      <c r="K11" s="313"/>
      <c r="M11" s="68" t="s">
        <v>39</v>
      </c>
      <c r="N11" s="69">
        <v>971.83251937984357</v>
      </c>
      <c r="Q11" s="68" t="s">
        <v>39</v>
      </c>
      <c r="R11" s="69">
        <v>971.83251937984357</v>
      </c>
    </row>
    <row r="12" spans="1:18" ht="14.25" x14ac:dyDescent="0.2">
      <c r="B12" s="22"/>
      <c r="E12" s="311"/>
      <c r="F12" s="311"/>
      <c r="G12" s="312"/>
      <c r="H12" s="312"/>
      <c r="I12" s="312"/>
      <c r="J12" s="312"/>
      <c r="K12" s="313"/>
      <c r="M12" s="68" t="s">
        <v>7</v>
      </c>
      <c r="N12" s="69">
        <v>20386.253404651157</v>
      </c>
      <c r="Q12" s="68" t="s">
        <v>7</v>
      </c>
      <c r="R12" s="69">
        <v>20386.253404651157</v>
      </c>
    </row>
    <row r="13" spans="1:18" ht="14.25" x14ac:dyDescent="0.2">
      <c r="B13" s="22"/>
      <c r="E13" s="311"/>
      <c r="F13" s="311"/>
      <c r="G13" s="312"/>
      <c r="H13" s="312"/>
      <c r="I13" s="312"/>
      <c r="J13" s="312"/>
      <c r="K13" s="313"/>
      <c r="M13" s="68" t="s">
        <v>5</v>
      </c>
      <c r="N13" s="69">
        <v>8917.4256837209377</v>
      </c>
      <c r="Q13" s="68" t="s">
        <v>5</v>
      </c>
      <c r="R13" s="69">
        <v>8917.4256837209377</v>
      </c>
    </row>
    <row r="14" spans="1:18" ht="14.25" x14ac:dyDescent="0.2">
      <c r="B14" s="22"/>
      <c r="E14" s="314"/>
      <c r="F14" s="314"/>
      <c r="G14" s="315"/>
      <c r="H14" s="315"/>
      <c r="I14" s="315"/>
      <c r="J14" s="315"/>
      <c r="K14" s="316"/>
      <c r="M14" s="68" t="s">
        <v>12</v>
      </c>
      <c r="N14" s="69">
        <v>51.7</v>
      </c>
      <c r="Q14" s="68" t="s">
        <v>12</v>
      </c>
      <c r="R14" s="69">
        <v>51.7</v>
      </c>
    </row>
    <row r="15" spans="1:18" ht="14.25" x14ac:dyDescent="0.2">
      <c r="B15" s="22"/>
      <c r="G15" t="e">
        <f t="shared" ref="G15:G67" si="0">VLOOKUP(E15,$A$2:$C$500,3,FALSE)</f>
        <v>#N/A</v>
      </c>
      <c r="M15" s="68" t="s">
        <v>58</v>
      </c>
      <c r="N15" s="69">
        <v>2980.6613178294574</v>
      </c>
      <c r="Q15" s="68" t="s">
        <v>58</v>
      </c>
      <c r="R15" s="69">
        <v>2980.6613178294574</v>
      </c>
    </row>
    <row r="16" spans="1:18" ht="14.25" x14ac:dyDescent="0.2">
      <c r="B16" s="22"/>
      <c r="E16" s="308"/>
      <c r="G16" t="e">
        <f t="shared" si="0"/>
        <v>#N/A</v>
      </c>
      <c r="M16" s="68" t="s">
        <v>24</v>
      </c>
      <c r="N16" s="69">
        <v>36877.557998449687</v>
      </c>
      <c r="Q16" s="68" t="s">
        <v>24</v>
      </c>
      <c r="R16" s="69">
        <v>36877.557998449687</v>
      </c>
    </row>
    <row r="17" spans="2:22" ht="14.25" x14ac:dyDescent="0.2">
      <c r="B17" s="22"/>
      <c r="G17" t="e">
        <f t="shared" si="0"/>
        <v>#N/A</v>
      </c>
      <c r="M17" s="68" t="s">
        <v>13</v>
      </c>
      <c r="N17" s="69">
        <v>3980.7232170542752</v>
      </c>
      <c r="Q17" s="68" t="s">
        <v>13</v>
      </c>
      <c r="R17" s="69">
        <v>3980.7232170542752</v>
      </c>
    </row>
    <row r="18" spans="2:22" ht="14.25" x14ac:dyDescent="0.2">
      <c r="B18" s="22"/>
      <c r="G18" t="e">
        <f t="shared" si="0"/>
        <v>#N/A</v>
      </c>
      <c r="M18" s="68" t="s">
        <v>14</v>
      </c>
      <c r="N18" s="69">
        <v>912.46310077519388</v>
      </c>
      <c r="Q18" s="68" t="s">
        <v>14</v>
      </c>
      <c r="R18" s="69">
        <v>912.46310077519388</v>
      </c>
    </row>
    <row r="19" spans="2:22" ht="14.25" x14ac:dyDescent="0.2">
      <c r="B19" s="22"/>
      <c r="G19" t="e">
        <f t="shared" si="0"/>
        <v>#N/A</v>
      </c>
      <c r="M19" s="68"/>
      <c r="N19" s="70">
        <f>SUM(N9:N18)</f>
        <v>75244.125810852798</v>
      </c>
      <c r="Q19" s="68"/>
      <c r="R19" s="70">
        <f>SUM(R9:R18)</f>
        <v>75244.125810852798</v>
      </c>
    </row>
    <row r="20" spans="2:22" ht="14.25" x14ac:dyDescent="0.2">
      <c r="G20" t="e">
        <f t="shared" si="0"/>
        <v>#N/A</v>
      </c>
      <c r="M20" s="68" t="s">
        <v>149</v>
      </c>
      <c r="N20" s="71">
        <v>129</v>
      </c>
    </row>
    <row r="21" spans="2:22" ht="14.25" x14ac:dyDescent="0.2">
      <c r="G21" t="e">
        <f t="shared" si="0"/>
        <v>#N/A</v>
      </c>
      <c r="M21" s="68" t="s">
        <v>150</v>
      </c>
      <c r="N21" s="71">
        <v>27</v>
      </c>
    </row>
    <row r="22" spans="2:22" x14ac:dyDescent="0.2">
      <c r="G22" t="e">
        <f t="shared" si="0"/>
        <v>#N/A</v>
      </c>
    </row>
    <row r="23" spans="2:22" x14ac:dyDescent="0.2">
      <c r="G23" t="e">
        <f t="shared" si="0"/>
        <v>#N/A</v>
      </c>
    </row>
    <row r="24" spans="2:22" x14ac:dyDescent="0.2">
      <c r="G24" t="e">
        <f t="shared" si="0"/>
        <v>#N/A</v>
      </c>
    </row>
    <row r="25" spans="2:22" x14ac:dyDescent="0.2">
      <c r="G25" t="e">
        <f t="shared" si="0"/>
        <v>#N/A</v>
      </c>
    </row>
    <row r="26" spans="2:22" x14ac:dyDescent="0.2">
      <c r="G26" t="e">
        <f t="shared" si="0"/>
        <v>#N/A</v>
      </c>
    </row>
    <row r="27" spans="2:22" x14ac:dyDescent="0.2">
      <c r="G27" t="e">
        <f t="shared" si="0"/>
        <v>#N/A</v>
      </c>
    </row>
    <row r="28" spans="2:22" x14ac:dyDescent="0.2">
      <c r="G28" t="e">
        <f t="shared" si="0"/>
        <v>#N/A</v>
      </c>
      <c r="M28" s="17"/>
      <c r="N28" s="17" t="s">
        <v>106</v>
      </c>
      <c r="O28" s="77" t="s">
        <v>107</v>
      </c>
      <c r="P28" s="77" t="s">
        <v>108</v>
      </c>
      <c r="Q28" s="77" t="s">
        <v>164</v>
      </c>
      <c r="R28" s="77" t="s">
        <v>109</v>
      </c>
      <c r="S28" s="77" t="s">
        <v>110</v>
      </c>
      <c r="U28" s="77" t="s">
        <v>205</v>
      </c>
      <c r="V28" s="77" t="s">
        <v>206</v>
      </c>
    </row>
    <row r="29" spans="2:22" x14ac:dyDescent="0.2">
      <c r="G29" t="e">
        <f t="shared" si="0"/>
        <v>#N/A</v>
      </c>
      <c r="N29" t="s">
        <v>9</v>
      </c>
      <c r="O29" s="78" t="str">
        <f>'Caseload Chart'!G45</f>
        <v/>
      </c>
      <c r="P29" s="78" t="e">
        <f>IF(O29&lt;&gt;0,O29+(ROWS(O$29:O29)/1000*(O29&lt;&gt;0)),"")</f>
        <v>#VALUE!</v>
      </c>
      <c r="Q29" s="78" t="e">
        <f>MATCH(LARGE(P$29:P$65536,COUNTIF(P$29:P$65536,0)+ROWS(P$29:P29)),P$29:P$65536,0)</f>
        <v>#VALUE!</v>
      </c>
      <c r="R29" s="78" t="e">
        <f ca="1">OFFSET($N$28,Q29,1,1,1)</f>
        <v>#VALUE!</v>
      </c>
      <c r="S29" s="78" t="e">
        <f ca="1">OFFSET($N$28,Q29,0,1,1)</f>
        <v>#VALUE!</v>
      </c>
      <c r="U29" t="e">
        <f ca="1">IF(ISERROR(S29),NA(),S29)</f>
        <v>#N/A</v>
      </c>
      <c r="V29" s="79" t="e">
        <f ca="1">IF(ISERROR(R29),NA(),R29)</f>
        <v>#N/A</v>
      </c>
    </row>
    <row r="30" spans="2:22" x14ac:dyDescent="0.2">
      <c r="G30" t="e">
        <f t="shared" si="0"/>
        <v>#N/A</v>
      </c>
      <c r="N30" t="s">
        <v>21</v>
      </c>
      <c r="O30" s="78" t="str">
        <f>'Caseload Chart'!G46</f>
        <v/>
      </c>
      <c r="P30" s="78" t="e">
        <f>IF(O30&lt;&gt;0,O30+(ROWS(O$29:O30)/1000*(O30&lt;&gt;0)),"")</f>
        <v>#VALUE!</v>
      </c>
      <c r="Q30" s="78" t="e">
        <f>MATCH(LARGE(P$29:P$65536,COUNTIF(P$29:P$65536,0)+ROWS(P$29:P30)),P$29:P$65536,0)</f>
        <v>#VALUE!</v>
      </c>
      <c r="R30" s="78" t="e">
        <f t="shared" ref="R30:R38" ca="1" si="1">OFFSET($N$28,Q30,1,1,1)</f>
        <v>#VALUE!</v>
      </c>
      <c r="S30" s="78" t="e">
        <f t="shared" ref="S30:S38" ca="1" si="2">OFFSET($N$28,Q30,0,1,1)</f>
        <v>#VALUE!</v>
      </c>
      <c r="U30" t="e">
        <f t="shared" ref="U30:U38" ca="1" si="3">IF(ISERROR(S30),NA(),S30)</f>
        <v>#N/A</v>
      </c>
      <c r="V30" s="79" t="e">
        <f t="shared" ref="V30:V38" ca="1" si="4">IF(ISERROR(R30),NA(),R30)</f>
        <v>#N/A</v>
      </c>
    </row>
    <row r="31" spans="2:22" x14ac:dyDescent="0.2">
      <c r="G31" t="e">
        <f t="shared" si="0"/>
        <v>#N/A</v>
      </c>
      <c r="N31" t="s">
        <v>39</v>
      </c>
      <c r="O31" s="78" t="str">
        <f>'Caseload Chart'!G47</f>
        <v/>
      </c>
      <c r="P31" s="78" t="e">
        <f>IF(O31&lt;&gt;0,O31+(ROWS(O$29:O31)/1000*(O31&lt;&gt;0)),"")</f>
        <v>#VALUE!</v>
      </c>
      <c r="Q31" s="78" t="e">
        <f>MATCH(LARGE(P$29:P$65536,COUNTIF(P$29:P$65536,0)+ROWS(P$29:P31)),P$29:P$65536,0)</f>
        <v>#VALUE!</v>
      </c>
      <c r="R31" s="78" t="e">
        <f t="shared" ca="1" si="1"/>
        <v>#VALUE!</v>
      </c>
      <c r="S31" s="78" t="e">
        <f t="shared" ca="1" si="2"/>
        <v>#VALUE!</v>
      </c>
      <c r="U31" t="e">
        <f t="shared" ca="1" si="3"/>
        <v>#N/A</v>
      </c>
      <c r="V31" s="79" t="e">
        <f t="shared" ca="1" si="4"/>
        <v>#N/A</v>
      </c>
    </row>
    <row r="32" spans="2:22" x14ac:dyDescent="0.2">
      <c r="G32" t="e">
        <f t="shared" si="0"/>
        <v>#N/A</v>
      </c>
      <c r="N32" t="s">
        <v>7</v>
      </c>
      <c r="O32" s="78" t="str">
        <f>'Caseload Chart'!G48</f>
        <v/>
      </c>
      <c r="P32" s="78" t="e">
        <f>IF(O32&lt;&gt;0,O32+(ROWS(O$29:O32)/1000*(O32&lt;&gt;0)),"")</f>
        <v>#VALUE!</v>
      </c>
      <c r="Q32" s="78" t="e">
        <f>MATCH(LARGE(P$29:P$65536,COUNTIF(P$29:P$65536,0)+ROWS(P$29:P32)),P$29:P$65536,0)</f>
        <v>#VALUE!</v>
      </c>
      <c r="R32" s="78" t="e">
        <f t="shared" ca="1" si="1"/>
        <v>#VALUE!</v>
      </c>
      <c r="S32" s="78" t="e">
        <f t="shared" ca="1" si="2"/>
        <v>#VALUE!</v>
      </c>
      <c r="U32" t="e">
        <f t="shared" ca="1" si="3"/>
        <v>#N/A</v>
      </c>
      <c r="V32" s="79" t="e">
        <f t="shared" ca="1" si="4"/>
        <v>#N/A</v>
      </c>
    </row>
    <row r="33" spans="7:22" x14ac:dyDescent="0.2">
      <c r="G33" t="e">
        <f t="shared" si="0"/>
        <v>#N/A</v>
      </c>
      <c r="N33" t="s">
        <v>5</v>
      </c>
      <c r="O33" s="78" t="str">
        <f>'Caseload Chart'!G49</f>
        <v/>
      </c>
      <c r="P33" s="78" t="e">
        <f>IF(O33&lt;&gt;0,O33+(ROWS(O$29:O33)/1000*(O33&lt;&gt;0)),"")</f>
        <v>#VALUE!</v>
      </c>
      <c r="Q33" s="78" t="e">
        <f>MATCH(LARGE(P$29:P$65536,COUNTIF(P$29:P$65536,0)+ROWS(P$29:P33)),P$29:P$65536,0)</f>
        <v>#VALUE!</v>
      </c>
      <c r="R33" s="78" t="e">
        <f t="shared" ca="1" si="1"/>
        <v>#VALUE!</v>
      </c>
      <c r="S33" s="78" t="e">
        <f t="shared" ca="1" si="2"/>
        <v>#VALUE!</v>
      </c>
      <c r="U33" t="e">
        <f t="shared" ca="1" si="3"/>
        <v>#N/A</v>
      </c>
      <c r="V33" s="79" t="e">
        <f t="shared" ca="1" si="4"/>
        <v>#N/A</v>
      </c>
    </row>
    <row r="34" spans="7:22" x14ac:dyDescent="0.2">
      <c r="G34" t="e">
        <f t="shared" si="0"/>
        <v>#N/A</v>
      </c>
      <c r="N34" t="s">
        <v>12</v>
      </c>
      <c r="O34" s="78" t="str">
        <f>'Caseload Chart'!G50</f>
        <v/>
      </c>
      <c r="P34" s="78" t="e">
        <f>IF(O34&lt;&gt;0,O34+(ROWS(O$29:O34)/1000*(O34&lt;&gt;0)),"")</f>
        <v>#VALUE!</v>
      </c>
      <c r="Q34" s="78" t="e">
        <f>MATCH(LARGE(P$29:P$65536,COUNTIF(P$29:P$65536,0)+ROWS(P$29:P34)),P$29:P$65536,0)</f>
        <v>#VALUE!</v>
      </c>
      <c r="R34" s="78" t="e">
        <f t="shared" ca="1" si="1"/>
        <v>#VALUE!</v>
      </c>
      <c r="S34" s="78" t="e">
        <f t="shared" ca="1" si="2"/>
        <v>#VALUE!</v>
      </c>
      <c r="U34" t="e">
        <f t="shared" ca="1" si="3"/>
        <v>#N/A</v>
      </c>
      <c r="V34" s="79" t="e">
        <f t="shared" ca="1" si="4"/>
        <v>#N/A</v>
      </c>
    </row>
    <row r="35" spans="7:22" x14ac:dyDescent="0.2">
      <c r="G35" t="e">
        <f t="shared" si="0"/>
        <v>#N/A</v>
      </c>
      <c r="N35" t="s">
        <v>58</v>
      </c>
      <c r="O35" s="78" t="str">
        <f>'Caseload Chart'!G51</f>
        <v/>
      </c>
      <c r="P35" s="78" t="e">
        <f>IF(O35&lt;&gt;0,O35+(ROWS(O$29:O35)/1000*(O35&lt;&gt;0)),"")</f>
        <v>#VALUE!</v>
      </c>
      <c r="Q35" s="78" t="e">
        <f>MATCH(LARGE(P$29:P$65536,COUNTIF(P$29:P$65536,0)+ROWS(P$29:P35)),P$29:P$65536,0)</f>
        <v>#VALUE!</v>
      </c>
      <c r="R35" s="78" t="e">
        <f t="shared" ca="1" si="1"/>
        <v>#VALUE!</v>
      </c>
      <c r="S35" s="78" t="e">
        <f t="shared" ca="1" si="2"/>
        <v>#VALUE!</v>
      </c>
      <c r="U35" t="e">
        <f t="shared" ca="1" si="3"/>
        <v>#N/A</v>
      </c>
      <c r="V35" s="79" t="e">
        <f t="shared" ca="1" si="4"/>
        <v>#N/A</v>
      </c>
    </row>
    <row r="36" spans="7:22" x14ac:dyDescent="0.2">
      <c r="G36" t="e">
        <f t="shared" si="0"/>
        <v>#N/A</v>
      </c>
      <c r="N36" t="s">
        <v>24</v>
      </c>
      <c r="O36" s="78" t="str">
        <f>'Caseload Chart'!G52</f>
        <v/>
      </c>
      <c r="P36" s="78" t="e">
        <f>IF(O36&lt;&gt;0,O36+(ROWS(O$29:O36)/1000*(O36&lt;&gt;0)),"")</f>
        <v>#VALUE!</v>
      </c>
      <c r="Q36" s="78" t="e">
        <f>MATCH(LARGE(P$29:P$65536,COUNTIF(P$29:P$65536,0)+ROWS(P$29:P36)),P$29:P$65536,0)</f>
        <v>#VALUE!</v>
      </c>
      <c r="R36" s="78" t="e">
        <f t="shared" ca="1" si="1"/>
        <v>#VALUE!</v>
      </c>
      <c r="S36" s="78" t="e">
        <f t="shared" ca="1" si="2"/>
        <v>#VALUE!</v>
      </c>
      <c r="U36" t="e">
        <f t="shared" ca="1" si="3"/>
        <v>#N/A</v>
      </c>
      <c r="V36" s="79" t="e">
        <f t="shared" ca="1" si="4"/>
        <v>#N/A</v>
      </c>
    </row>
    <row r="37" spans="7:22" x14ac:dyDescent="0.2">
      <c r="G37" t="e">
        <f t="shared" si="0"/>
        <v>#N/A</v>
      </c>
      <c r="N37" t="s">
        <v>13</v>
      </c>
      <c r="O37" s="78" t="str">
        <f>'Caseload Chart'!G53</f>
        <v/>
      </c>
      <c r="P37" s="78" t="e">
        <f>IF(O37&lt;&gt;0,O37+(ROWS(O$29:O37)/1000*(O37&lt;&gt;0)),"")</f>
        <v>#VALUE!</v>
      </c>
      <c r="Q37" s="78" t="e">
        <f>MATCH(LARGE(P$29:P$65536,COUNTIF(P$29:P$65536,0)+ROWS(P$29:P37)),P$29:P$65536,0)</f>
        <v>#VALUE!</v>
      </c>
      <c r="R37" s="78" t="e">
        <f t="shared" ca="1" si="1"/>
        <v>#VALUE!</v>
      </c>
      <c r="S37" s="78" t="e">
        <f t="shared" ca="1" si="2"/>
        <v>#VALUE!</v>
      </c>
      <c r="U37" t="e">
        <f t="shared" ca="1" si="3"/>
        <v>#N/A</v>
      </c>
      <c r="V37" s="79" t="e">
        <f t="shared" ca="1" si="4"/>
        <v>#N/A</v>
      </c>
    </row>
    <row r="38" spans="7:22" x14ac:dyDescent="0.2">
      <c r="G38" t="e">
        <f t="shared" si="0"/>
        <v>#N/A</v>
      </c>
      <c r="N38" t="s">
        <v>14</v>
      </c>
      <c r="O38" s="78" t="str">
        <f>'Caseload Chart'!G54</f>
        <v/>
      </c>
      <c r="P38" s="78" t="e">
        <f>IF(O38&lt;&gt;0,O38+(ROWS(O$29:O38)/1000*(O38&lt;&gt;0)),"")</f>
        <v>#VALUE!</v>
      </c>
      <c r="Q38" s="78" t="e">
        <f>MATCH(LARGE(P$29:P$65536,COUNTIF(P$29:P$65536,0)+ROWS(P$29:P38)),P$29:P$65536,0)</f>
        <v>#VALUE!</v>
      </c>
      <c r="R38" s="78" t="e">
        <f t="shared" ca="1" si="1"/>
        <v>#VALUE!</v>
      </c>
      <c r="S38" s="78" t="e">
        <f t="shared" ca="1" si="2"/>
        <v>#VALUE!</v>
      </c>
      <c r="U38" t="e">
        <f t="shared" ca="1" si="3"/>
        <v>#N/A</v>
      </c>
      <c r="V38" s="79" t="e">
        <f t="shared" ca="1" si="4"/>
        <v>#N/A</v>
      </c>
    </row>
    <row r="39" spans="7:22" x14ac:dyDescent="0.2">
      <c r="G39" t="e">
        <f t="shared" si="0"/>
        <v>#N/A</v>
      </c>
    </row>
    <row r="40" spans="7:22" x14ac:dyDescent="0.2">
      <c r="G40" t="e">
        <f t="shared" si="0"/>
        <v>#N/A</v>
      </c>
    </row>
    <row r="41" spans="7:22" x14ac:dyDescent="0.2">
      <c r="G41" t="e">
        <f t="shared" si="0"/>
        <v>#N/A</v>
      </c>
    </row>
    <row r="42" spans="7:22" x14ac:dyDescent="0.2">
      <c r="G42" t="e">
        <f t="shared" si="0"/>
        <v>#N/A</v>
      </c>
    </row>
    <row r="43" spans="7:22" x14ac:dyDescent="0.2">
      <c r="G43" t="e">
        <f t="shared" si="0"/>
        <v>#N/A</v>
      </c>
    </row>
    <row r="44" spans="7:22" x14ac:dyDescent="0.2">
      <c r="G44" t="e">
        <f t="shared" si="0"/>
        <v>#N/A</v>
      </c>
    </row>
    <row r="45" spans="7:22" x14ac:dyDescent="0.2">
      <c r="G45" t="e">
        <f t="shared" si="0"/>
        <v>#N/A</v>
      </c>
    </row>
    <row r="46" spans="7:22" x14ac:dyDescent="0.2">
      <c r="G46" t="e">
        <f t="shared" si="0"/>
        <v>#N/A</v>
      </c>
    </row>
    <row r="47" spans="7:22" x14ac:dyDescent="0.2">
      <c r="G47" t="e">
        <f t="shared" si="0"/>
        <v>#N/A</v>
      </c>
    </row>
    <row r="48" spans="7:22" x14ac:dyDescent="0.2">
      <c r="G48" t="e">
        <f t="shared" si="0"/>
        <v>#N/A</v>
      </c>
    </row>
    <row r="49" spans="7:7" x14ac:dyDescent="0.2">
      <c r="G49" t="e">
        <f t="shared" si="0"/>
        <v>#N/A</v>
      </c>
    </row>
    <row r="50" spans="7:7" x14ac:dyDescent="0.2">
      <c r="G50" t="e">
        <f t="shared" si="0"/>
        <v>#N/A</v>
      </c>
    </row>
    <row r="51" spans="7:7" x14ac:dyDescent="0.2">
      <c r="G51" t="e">
        <f t="shared" si="0"/>
        <v>#N/A</v>
      </c>
    </row>
    <row r="52" spans="7:7" x14ac:dyDescent="0.2">
      <c r="G52" t="e">
        <f t="shared" si="0"/>
        <v>#N/A</v>
      </c>
    </row>
    <row r="53" spans="7:7" x14ac:dyDescent="0.2">
      <c r="G53" t="e">
        <f t="shared" si="0"/>
        <v>#N/A</v>
      </c>
    </row>
    <row r="54" spans="7:7" x14ac:dyDescent="0.2">
      <c r="G54" t="e">
        <f t="shared" si="0"/>
        <v>#N/A</v>
      </c>
    </row>
    <row r="55" spans="7:7" x14ac:dyDescent="0.2">
      <c r="G55" t="e">
        <f t="shared" si="0"/>
        <v>#N/A</v>
      </c>
    </row>
    <row r="56" spans="7:7" x14ac:dyDescent="0.2">
      <c r="G56" t="e">
        <f t="shared" si="0"/>
        <v>#N/A</v>
      </c>
    </row>
    <row r="57" spans="7:7" x14ac:dyDescent="0.2">
      <c r="G57" t="e">
        <f t="shared" si="0"/>
        <v>#N/A</v>
      </c>
    </row>
    <row r="58" spans="7:7" x14ac:dyDescent="0.2">
      <c r="G58" t="e">
        <f t="shared" si="0"/>
        <v>#N/A</v>
      </c>
    </row>
    <row r="59" spans="7:7" x14ac:dyDescent="0.2">
      <c r="G59" t="e">
        <f t="shared" si="0"/>
        <v>#N/A</v>
      </c>
    </row>
    <row r="60" spans="7:7" x14ac:dyDescent="0.2">
      <c r="G60" t="e">
        <f t="shared" si="0"/>
        <v>#N/A</v>
      </c>
    </row>
    <row r="61" spans="7:7" x14ac:dyDescent="0.2">
      <c r="G61" t="e">
        <f t="shared" si="0"/>
        <v>#N/A</v>
      </c>
    </row>
    <row r="62" spans="7:7" x14ac:dyDescent="0.2">
      <c r="G62" t="e">
        <f t="shared" si="0"/>
        <v>#N/A</v>
      </c>
    </row>
    <row r="63" spans="7:7" x14ac:dyDescent="0.2">
      <c r="G63" t="e">
        <f t="shared" si="0"/>
        <v>#N/A</v>
      </c>
    </row>
    <row r="64" spans="7:7" x14ac:dyDescent="0.2">
      <c r="G64" t="e">
        <f t="shared" si="0"/>
        <v>#N/A</v>
      </c>
    </row>
    <row r="65" spans="7:7" x14ac:dyDescent="0.2">
      <c r="G65" t="e">
        <f t="shared" si="0"/>
        <v>#N/A</v>
      </c>
    </row>
    <row r="66" spans="7:7" x14ac:dyDescent="0.2">
      <c r="G66" t="e">
        <f t="shared" si="0"/>
        <v>#N/A</v>
      </c>
    </row>
    <row r="67" spans="7:7" x14ac:dyDescent="0.2">
      <c r="G67" t="e">
        <f t="shared" si="0"/>
        <v>#N/A</v>
      </c>
    </row>
    <row r="68" spans="7:7" x14ac:dyDescent="0.2">
      <c r="G68" t="e">
        <f t="shared" ref="G68:G131" si="5">VLOOKUP(E68,$A$2:$C$500,3,FALSE)</f>
        <v>#N/A</v>
      </c>
    </row>
    <row r="69" spans="7:7" x14ac:dyDescent="0.2">
      <c r="G69" t="e">
        <f t="shared" si="5"/>
        <v>#N/A</v>
      </c>
    </row>
    <row r="70" spans="7:7" x14ac:dyDescent="0.2">
      <c r="G70" t="e">
        <f t="shared" si="5"/>
        <v>#N/A</v>
      </c>
    </row>
    <row r="71" spans="7:7" x14ac:dyDescent="0.2">
      <c r="G71" t="e">
        <f t="shared" si="5"/>
        <v>#N/A</v>
      </c>
    </row>
    <row r="72" spans="7:7" x14ac:dyDescent="0.2">
      <c r="G72" t="e">
        <f t="shared" si="5"/>
        <v>#N/A</v>
      </c>
    </row>
    <row r="73" spans="7:7" x14ac:dyDescent="0.2">
      <c r="G73" t="e">
        <f t="shared" si="5"/>
        <v>#N/A</v>
      </c>
    </row>
    <row r="74" spans="7:7" x14ac:dyDescent="0.2">
      <c r="G74" t="e">
        <f t="shared" si="5"/>
        <v>#N/A</v>
      </c>
    </row>
    <row r="75" spans="7:7" x14ac:dyDescent="0.2">
      <c r="G75" t="e">
        <f t="shared" si="5"/>
        <v>#N/A</v>
      </c>
    </row>
    <row r="76" spans="7:7" x14ac:dyDescent="0.2">
      <c r="G76" t="e">
        <f t="shared" si="5"/>
        <v>#N/A</v>
      </c>
    </row>
    <row r="77" spans="7:7" x14ac:dyDescent="0.2">
      <c r="G77" t="e">
        <f t="shared" si="5"/>
        <v>#N/A</v>
      </c>
    </row>
    <row r="78" spans="7:7" x14ac:dyDescent="0.2">
      <c r="G78" t="e">
        <f t="shared" si="5"/>
        <v>#N/A</v>
      </c>
    </row>
    <row r="79" spans="7:7" x14ac:dyDescent="0.2">
      <c r="G79" t="e">
        <f t="shared" si="5"/>
        <v>#N/A</v>
      </c>
    </row>
    <row r="80" spans="7:7" x14ac:dyDescent="0.2">
      <c r="G80" t="e">
        <f t="shared" si="5"/>
        <v>#N/A</v>
      </c>
    </row>
    <row r="81" spans="7:7" x14ac:dyDescent="0.2">
      <c r="G81" t="e">
        <f t="shared" si="5"/>
        <v>#N/A</v>
      </c>
    </row>
    <row r="82" spans="7:7" x14ac:dyDescent="0.2">
      <c r="G82" t="e">
        <f t="shared" si="5"/>
        <v>#N/A</v>
      </c>
    </row>
    <row r="83" spans="7:7" x14ac:dyDescent="0.2">
      <c r="G83" t="e">
        <f t="shared" si="5"/>
        <v>#N/A</v>
      </c>
    </row>
    <row r="84" spans="7:7" x14ac:dyDescent="0.2">
      <c r="G84" t="e">
        <f t="shared" si="5"/>
        <v>#N/A</v>
      </c>
    </row>
    <row r="85" spans="7:7" x14ac:dyDescent="0.2">
      <c r="G85" t="e">
        <f t="shared" si="5"/>
        <v>#N/A</v>
      </c>
    </row>
    <row r="86" spans="7:7" x14ac:dyDescent="0.2">
      <c r="G86" t="e">
        <f t="shared" si="5"/>
        <v>#N/A</v>
      </c>
    </row>
    <row r="87" spans="7:7" x14ac:dyDescent="0.2">
      <c r="G87" t="e">
        <f t="shared" si="5"/>
        <v>#N/A</v>
      </c>
    </row>
    <row r="88" spans="7:7" x14ac:dyDescent="0.2">
      <c r="G88" t="e">
        <f t="shared" si="5"/>
        <v>#N/A</v>
      </c>
    </row>
    <row r="89" spans="7:7" x14ac:dyDescent="0.2">
      <c r="G89" t="e">
        <f t="shared" si="5"/>
        <v>#N/A</v>
      </c>
    </row>
    <row r="90" spans="7:7" x14ac:dyDescent="0.2">
      <c r="G90" t="e">
        <f t="shared" si="5"/>
        <v>#N/A</v>
      </c>
    </row>
    <row r="91" spans="7:7" x14ac:dyDescent="0.2">
      <c r="G91" t="e">
        <f t="shared" si="5"/>
        <v>#N/A</v>
      </c>
    </row>
    <row r="92" spans="7:7" x14ac:dyDescent="0.2">
      <c r="G92" t="e">
        <f t="shared" si="5"/>
        <v>#N/A</v>
      </c>
    </row>
    <row r="93" spans="7:7" x14ac:dyDescent="0.2">
      <c r="G93" t="e">
        <f t="shared" si="5"/>
        <v>#N/A</v>
      </c>
    </row>
    <row r="94" spans="7:7" x14ac:dyDescent="0.2">
      <c r="G94" t="e">
        <f t="shared" si="5"/>
        <v>#N/A</v>
      </c>
    </row>
    <row r="95" spans="7:7" x14ac:dyDescent="0.2">
      <c r="G95" t="e">
        <f t="shared" si="5"/>
        <v>#N/A</v>
      </c>
    </row>
    <row r="96" spans="7:7" x14ac:dyDescent="0.2">
      <c r="G96" t="e">
        <f t="shared" si="5"/>
        <v>#N/A</v>
      </c>
    </row>
    <row r="97" spans="7:7" x14ac:dyDescent="0.2">
      <c r="G97" t="e">
        <f t="shared" si="5"/>
        <v>#N/A</v>
      </c>
    </row>
    <row r="98" spans="7:7" x14ac:dyDescent="0.2">
      <c r="G98" t="e">
        <f t="shared" si="5"/>
        <v>#N/A</v>
      </c>
    </row>
    <row r="99" spans="7:7" x14ac:dyDescent="0.2">
      <c r="G99" t="e">
        <f t="shared" si="5"/>
        <v>#N/A</v>
      </c>
    </row>
    <row r="100" spans="7:7" x14ac:dyDescent="0.2">
      <c r="G100" t="e">
        <f t="shared" si="5"/>
        <v>#N/A</v>
      </c>
    </row>
    <row r="101" spans="7:7" x14ac:dyDescent="0.2">
      <c r="G101" t="e">
        <f t="shared" si="5"/>
        <v>#N/A</v>
      </c>
    </row>
    <row r="102" spans="7:7" x14ac:dyDescent="0.2">
      <c r="G102" t="e">
        <f t="shared" si="5"/>
        <v>#N/A</v>
      </c>
    </row>
    <row r="103" spans="7:7" x14ac:dyDescent="0.2">
      <c r="G103" t="e">
        <f t="shared" si="5"/>
        <v>#N/A</v>
      </c>
    </row>
    <row r="104" spans="7:7" x14ac:dyDescent="0.2">
      <c r="G104" t="e">
        <f t="shared" si="5"/>
        <v>#N/A</v>
      </c>
    </row>
    <row r="105" spans="7:7" x14ac:dyDescent="0.2">
      <c r="G105" t="e">
        <f t="shared" si="5"/>
        <v>#N/A</v>
      </c>
    </row>
    <row r="106" spans="7:7" x14ac:dyDescent="0.2">
      <c r="G106" t="e">
        <f t="shared" si="5"/>
        <v>#N/A</v>
      </c>
    </row>
    <row r="107" spans="7:7" x14ac:dyDescent="0.2">
      <c r="G107" t="e">
        <f t="shared" si="5"/>
        <v>#N/A</v>
      </c>
    </row>
    <row r="108" spans="7:7" x14ac:dyDescent="0.2">
      <c r="G108" t="e">
        <f t="shared" si="5"/>
        <v>#N/A</v>
      </c>
    </row>
    <row r="109" spans="7:7" x14ac:dyDescent="0.2">
      <c r="G109" t="e">
        <f t="shared" si="5"/>
        <v>#N/A</v>
      </c>
    </row>
    <row r="110" spans="7:7" x14ac:dyDescent="0.2">
      <c r="G110" t="e">
        <f t="shared" si="5"/>
        <v>#N/A</v>
      </c>
    </row>
    <row r="111" spans="7:7" x14ac:dyDescent="0.2">
      <c r="G111" t="e">
        <f t="shared" si="5"/>
        <v>#N/A</v>
      </c>
    </row>
    <row r="112" spans="7:7" x14ac:dyDescent="0.2">
      <c r="G112" t="e">
        <f t="shared" si="5"/>
        <v>#N/A</v>
      </c>
    </row>
    <row r="113" spans="7:7" x14ac:dyDescent="0.2">
      <c r="G113" t="e">
        <f t="shared" si="5"/>
        <v>#N/A</v>
      </c>
    </row>
    <row r="114" spans="7:7" x14ac:dyDescent="0.2">
      <c r="G114" t="e">
        <f t="shared" si="5"/>
        <v>#N/A</v>
      </c>
    </row>
    <row r="115" spans="7:7" x14ac:dyDescent="0.2">
      <c r="G115" t="e">
        <f t="shared" si="5"/>
        <v>#N/A</v>
      </c>
    </row>
    <row r="116" spans="7:7" x14ac:dyDescent="0.2">
      <c r="G116" t="e">
        <f t="shared" si="5"/>
        <v>#N/A</v>
      </c>
    </row>
    <row r="117" spans="7:7" x14ac:dyDescent="0.2">
      <c r="G117" t="e">
        <f t="shared" si="5"/>
        <v>#N/A</v>
      </c>
    </row>
    <row r="118" spans="7:7" x14ac:dyDescent="0.2">
      <c r="G118" t="e">
        <f t="shared" si="5"/>
        <v>#N/A</v>
      </c>
    </row>
    <row r="119" spans="7:7" x14ac:dyDescent="0.2">
      <c r="G119" t="e">
        <f t="shared" si="5"/>
        <v>#N/A</v>
      </c>
    </row>
    <row r="120" spans="7:7" x14ac:dyDescent="0.2">
      <c r="G120" t="e">
        <f t="shared" si="5"/>
        <v>#N/A</v>
      </c>
    </row>
    <row r="121" spans="7:7" x14ac:dyDescent="0.2">
      <c r="G121" t="e">
        <f t="shared" si="5"/>
        <v>#N/A</v>
      </c>
    </row>
    <row r="122" spans="7:7" x14ac:dyDescent="0.2">
      <c r="G122" t="e">
        <f t="shared" si="5"/>
        <v>#N/A</v>
      </c>
    </row>
    <row r="123" spans="7:7" x14ac:dyDescent="0.2">
      <c r="G123" t="e">
        <f t="shared" si="5"/>
        <v>#N/A</v>
      </c>
    </row>
    <row r="124" spans="7:7" x14ac:dyDescent="0.2">
      <c r="G124" t="e">
        <f t="shared" si="5"/>
        <v>#N/A</v>
      </c>
    </row>
    <row r="125" spans="7:7" x14ac:dyDescent="0.2">
      <c r="G125" t="e">
        <f t="shared" si="5"/>
        <v>#N/A</v>
      </c>
    </row>
    <row r="126" spans="7:7" x14ac:dyDescent="0.2">
      <c r="G126" t="e">
        <f t="shared" si="5"/>
        <v>#N/A</v>
      </c>
    </row>
    <row r="127" spans="7:7" x14ac:dyDescent="0.2">
      <c r="G127" t="e">
        <f t="shared" si="5"/>
        <v>#N/A</v>
      </c>
    </row>
    <row r="128" spans="7:7" x14ac:dyDescent="0.2">
      <c r="G128" t="e">
        <f t="shared" si="5"/>
        <v>#N/A</v>
      </c>
    </row>
    <row r="129" spans="7:7" x14ac:dyDescent="0.2">
      <c r="G129" t="e">
        <f t="shared" si="5"/>
        <v>#N/A</v>
      </c>
    </row>
    <row r="130" spans="7:7" x14ac:dyDescent="0.2">
      <c r="G130" t="e">
        <f t="shared" si="5"/>
        <v>#N/A</v>
      </c>
    </row>
    <row r="131" spans="7:7" x14ac:dyDescent="0.2">
      <c r="G131" t="e">
        <f t="shared" si="5"/>
        <v>#N/A</v>
      </c>
    </row>
    <row r="132" spans="7:7" x14ac:dyDescent="0.2">
      <c r="G132" t="e">
        <f t="shared" ref="G132:G195" si="6">VLOOKUP(E132,$A$2:$C$500,3,FALSE)</f>
        <v>#N/A</v>
      </c>
    </row>
    <row r="133" spans="7:7" x14ac:dyDescent="0.2">
      <c r="G133" t="e">
        <f t="shared" si="6"/>
        <v>#N/A</v>
      </c>
    </row>
    <row r="134" spans="7:7" x14ac:dyDescent="0.2">
      <c r="G134" t="e">
        <f t="shared" si="6"/>
        <v>#N/A</v>
      </c>
    </row>
    <row r="135" spans="7:7" x14ac:dyDescent="0.2">
      <c r="G135" t="e">
        <f t="shared" si="6"/>
        <v>#N/A</v>
      </c>
    </row>
    <row r="136" spans="7:7" x14ac:dyDescent="0.2">
      <c r="G136" t="e">
        <f t="shared" si="6"/>
        <v>#N/A</v>
      </c>
    </row>
    <row r="137" spans="7:7" x14ac:dyDescent="0.2">
      <c r="G137" t="e">
        <f t="shared" si="6"/>
        <v>#N/A</v>
      </c>
    </row>
    <row r="138" spans="7:7" x14ac:dyDescent="0.2">
      <c r="G138" t="e">
        <f t="shared" si="6"/>
        <v>#N/A</v>
      </c>
    </row>
    <row r="139" spans="7:7" x14ac:dyDescent="0.2">
      <c r="G139" t="e">
        <f t="shared" si="6"/>
        <v>#N/A</v>
      </c>
    </row>
    <row r="140" spans="7:7" x14ac:dyDescent="0.2">
      <c r="G140" t="e">
        <f t="shared" si="6"/>
        <v>#N/A</v>
      </c>
    </row>
    <row r="141" spans="7:7" x14ac:dyDescent="0.2">
      <c r="G141" t="e">
        <f t="shared" si="6"/>
        <v>#N/A</v>
      </c>
    </row>
    <row r="142" spans="7:7" x14ac:dyDescent="0.2">
      <c r="G142" t="e">
        <f t="shared" si="6"/>
        <v>#N/A</v>
      </c>
    </row>
    <row r="143" spans="7:7" x14ac:dyDescent="0.2">
      <c r="G143" t="e">
        <f t="shared" si="6"/>
        <v>#N/A</v>
      </c>
    </row>
    <row r="144" spans="7:7" x14ac:dyDescent="0.2">
      <c r="G144" t="e">
        <f t="shared" si="6"/>
        <v>#N/A</v>
      </c>
    </row>
    <row r="145" spans="7:7" x14ac:dyDescent="0.2">
      <c r="G145" t="e">
        <f t="shared" si="6"/>
        <v>#N/A</v>
      </c>
    </row>
    <row r="146" spans="7:7" x14ac:dyDescent="0.2">
      <c r="G146" t="e">
        <f t="shared" si="6"/>
        <v>#N/A</v>
      </c>
    </row>
    <row r="147" spans="7:7" x14ac:dyDescent="0.2">
      <c r="G147" t="e">
        <f t="shared" si="6"/>
        <v>#N/A</v>
      </c>
    </row>
    <row r="148" spans="7:7" x14ac:dyDescent="0.2">
      <c r="G148" t="e">
        <f t="shared" si="6"/>
        <v>#N/A</v>
      </c>
    </row>
    <row r="149" spans="7:7" x14ac:dyDescent="0.2">
      <c r="G149" t="e">
        <f t="shared" si="6"/>
        <v>#N/A</v>
      </c>
    </row>
    <row r="150" spans="7:7" x14ac:dyDescent="0.2">
      <c r="G150" t="e">
        <f t="shared" si="6"/>
        <v>#N/A</v>
      </c>
    </row>
    <row r="151" spans="7:7" x14ac:dyDescent="0.2">
      <c r="G151" t="e">
        <f t="shared" si="6"/>
        <v>#N/A</v>
      </c>
    </row>
    <row r="152" spans="7:7" x14ac:dyDescent="0.2">
      <c r="G152" t="e">
        <f t="shared" si="6"/>
        <v>#N/A</v>
      </c>
    </row>
    <row r="153" spans="7:7" x14ac:dyDescent="0.2">
      <c r="G153" t="e">
        <f t="shared" si="6"/>
        <v>#N/A</v>
      </c>
    </row>
    <row r="154" spans="7:7" x14ac:dyDescent="0.2">
      <c r="G154" t="e">
        <f t="shared" si="6"/>
        <v>#N/A</v>
      </c>
    </row>
    <row r="155" spans="7:7" x14ac:dyDescent="0.2">
      <c r="G155" t="e">
        <f t="shared" si="6"/>
        <v>#N/A</v>
      </c>
    </row>
    <row r="156" spans="7:7" x14ac:dyDescent="0.2">
      <c r="G156" t="e">
        <f t="shared" si="6"/>
        <v>#N/A</v>
      </c>
    </row>
    <row r="157" spans="7:7" x14ac:dyDescent="0.2">
      <c r="G157" t="e">
        <f t="shared" si="6"/>
        <v>#N/A</v>
      </c>
    </row>
    <row r="158" spans="7:7" x14ac:dyDescent="0.2">
      <c r="G158" t="e">
        <f t="shared" si="6"/>
        <v>#N/A</v>
      </c>
    </row>
    <row r="159" spans="7:7" x14ac:dyDescent="0.2">
      <c r="G159" t="e">
        <f t="shared" si="6"/>
        <v>#N/A</v>
      </c>
    </row>
    <row r="160" spans="7:7" x14ac:dyDescent="0.2">
      <c r="G160" t="e">
        <f t="shared" si="6"/>
        <v>#N/A</v>
      </c>
    </row>
    <row r="161" spans="7:7" x14ac:dyDescent="0.2">
      <c r="G161" t="e">
        <f t="shared" si="6"/>
        <v>#N/A</v>
      </c>
    </row>
    <row r="162" spans="7:7" x14ac:dyDescent="0.2">
      <c r="G162" t="e">
        <f t="shared" si="6"/>
        <v>#N/A</v>
      </c>
    </row>
    <row r="163" spans="7:7" x14ac:dyDescent="0.2">
      <c r="G163" t="e">
        <f t="shared" si="6"/>
        <v>#N/A</v>
      </c>
    </row>
    <row r="164" spans="7:7" x14ac:dyDescent="0.2">
      <c r="G164" t="e">
        <f t="shared" si="6"/>
        <v>#N/A</v>
      </c>
    </row>
    <row r="165" spans="7:7" x14ac:dyDescent="0.2">
      <c r="G165" t="e">
        <f t="shared" si="6"/>
        <v>#N/A</v>
      </c>
    </row>
    <row r="166" spans="7:7" x14ac:dyDescent="0.2">
      <c r="G166" t="e">
        <f t="shared" si="6"/>
        <v>#N/A</v>
      </c>
    </row>
    <row r="167" spans="7:7" x14ac:dyDescent="0.2">
      <c r="G167" t="e">
        <f t="shared" si="6"/>
        <v>#N/A</v>
      </c>
    </row>
    <row r="168" spans="7:7" x14ac:dyDescent="0.2">
      <c r="G168" t="e">
        <f t="shared" si="6"/>
        <v>#N/A</v>
      </c>
    </row>
    <row r="169" spans="7:7" x14ac:dyDescent="0.2">
      <c r="G169" t="e">
        <f t="shared" si="6"/>
        <v>#N/A</v>
      </c>
    </row>
    <row r="170" spans="7:7" x14ac:dyDescent="0.2">
      <c r="G170" t="e">
        <f t="shared" si="6"/>
        <v>#N/A</v>
      </c>
    </row>
    <row r="171" spans="7:7" x14ac:dyDescent="0.2">
      <c r="G171" t="e">
        <f t="shared" si="6"/>
        <v>#N/A</v>
      </c>
    </row>
    <row r="172" spans="7:7" x14ac:dyDescent="0.2">
      <c r="G172" t="e">
        <f t="shared" si="6"/>
        <v>#N/A</v>
      </c>
    </row>
    <row r="173" spans="7:7" x14ac:dyDescent="0.2">
      <c r="G173" t="e">
        <f t="shared" si="6"/>
        <v>#N/A</v>
      </c>
    </row>
    <row r="174" spans="7:7" x14ac:dyDescent="0.2">
      <c r="G174" t="e">
        <f t="shared" si="6"/>
        <v>#N/A</v>
      </c>
    </row>
    <row r="175" spans="7:7" x14ac:dyDescent="0.2">
      <c r="G175" t="e">
        <f t="shared" si="6"/>
        <v>#N/A</v>
      </c>
    </row>
    <row r="176" spans="7:7" x14ac:dyDescent="0.2">
      <c r="G176" t="e">
        <f t="shared" si="6"/>
        <v>#N/A</v>
      </c>
    </row>
    <row r="177" spans="7:7" x14ac:dyDescent="0.2">
      <c r="G177" t="e">
        <f t="shared" si="6"/>
        <v>#N/A</v>
      </c>
    </row>
    <row r="178" spans="7:7" x14ac:dyDescent="0.2">
      <c r="G178" t="e">
        <f t="shared" si="6"/>
        <v>#N/A</v>
      </c>
    </row>
    <row r="179" spans="7:7" x14ac:dyDescent="0.2">
      <c r="G179" t="e">
        <f t="shared" si="6"/>
        <v>#N/A</v>
      </c>
    </row>
    <row r="180" spans="7:7" x14ac:dyDescent="0.2">
      <c r="G180" t="e">
        <f t="shared" si="6"/>
        <v>#N/A</v>
      </c>
    </row>
    <row r="181" spans="7:7" x14ac:dyDescent="0.2">
      <c r="G181" t="e">
        <f t="shared" si="6"/>
        <v>#N/A</v>
      </c>
    </row>
    <row r="182" spans="7:7" x14ac:dyDescent="0.2">
      <c r="G182" t="e">
        <f t="shared" si="6"/>
        <v>#N/A</v>
      </c>
    </row>
    <row r="183" spans="7:7" x14ac:dyDescent="0.2">
      <c r="G183" t="e">
        <f t="shared" si="6"/>
        <v>#N/A</v>
      </c>
    </row>
    <row r="184" spans="7:7" x14ac:dyDescent="0.2">
      <c r="G184" t="e">
        <f t="shared" si="6"/>
        <v>#N/A</v>
      </c>
    </row>
    <row r="185" spans="7:7" x14ac:dyDescent="0.2">
      <c r="G185" t="e">
        <f t="shared" si="6"/>
        <v>#N/A</v>
      </c>
    </row>
    <row r="186" spans="7:7" x14ac:dyDescent="0.2">
      <c r="G186" t="e">
        <f t="shared" si="6"/>
        <v>#N/A</v>
      </c>
    </row>
    <row r="187" spans="7:7" x14ac:dyDescent="0.2">
      <c r="G187" t="e">
        <f t="shared" si="6"/>
        <v>#N/A</v>
      </c>
    </row>
    <row r="188" spans="7:7" x14ac:dyDescent="0.2">
      <c r="G188" t="e">
        <f t="shared" si="6"/>
        <v>#N/A</v>
      </c>
    </row>
    <row r="189" spans="7:7" x14ac:dyDescent="0.2">
      <c r="G189" t="e">
        <f t="shared" si="6"/>
        <v>#N/A</v>
      </c>
    </row>
    <row r="190" spans="7:7" x14ac:dyDescent="0.2">
      <c r="G190" t="e">
        <f t="shared" si="6"/>
        <v>#N/A</v>
      </c>
    </row>
    <row r="191" spans="7:7" x14ac:dyDescent="0.2">
      <c r="G191" t="e">
        <f t="shared" si="6"/>
        <v>#N/A</v>
      </c>
    </row>
    <row r="192" spans="7:7" x14ac:dyDescent="0.2">
      <c r="G192" t="e">
        <f t="shared" si="6"/>
        <v>#N/A</v>
      </c>
    </row>
    <row r="193" spans="7:7" x14ac:dyDescent="0.2">
      <c r="G193" t="e">
        <f t="shared" si="6"/>
        <v>#N/A</v>
      </c>
    </row>
    <row r="194" spans="7:7" x14ac:dyDescent="0.2">
      <c r="G194" t="e">
        <f t="shared" si="6"/>
        <v>#N/A</v>
      </c>
    </row>
    <row r="195" spans="7:7" x14ac:dyDescent="0.2">
      <c r="G195" t="e">
        <f t="shared" si="6"/>
        <v>#N/A</v>
      </c>
    </row>
    <row r="196" spans="7:7" x14ac:dyDescent="0.2">
      <c r="G196" t="e">
        <f t="shared" ref="G196:G259" si="7">VLOOKUP(E196,$A$2:$C$500,3,FALSE)</f>
        <v>#N/A</v>
      </c>
    </row>
    <row r="197" spans="7:7" x14ac:dyDescent="0.2">
      <c r="G197" t="e">
        <f t="shared" si="7"/>
        <v>#N/A</v>
      </c>
    </row>
    <row r="198" spans="7:7" x14ac:dyDescent="0.2">
      <c r="G198" t="e">
        <f t="shared" si="7"/>
        <v>#N/A</v>
      </c>
    </row>
    <row r="199" spans="7:7" x14ac:dyDescent="0.2">
      <c r="G199" t="e">
        <f t="shared" si="7"/>
        <v>#N/A</v>
      </c>
    </row>
    <row r="200" spans="7:7" x14ac:dyDescent="0.2">
      <c r="G200" t="e">
        <f t="shared" si="7"/>
        <v>#N/A</v>
      </c>
    </row>
    <row r="201" spans="7:7" x14ac:dyDescent="0.2">
      <c r="G201" t="e">
        <f t="shared" si="7"/>
        <v>#N/A</v>
      </c>
    </row>
    <row r="202" spans="7:7" x14ac:dyDescent="0.2">
      <c r="G202" t="e">
        <f t="shared" si="7"/>
        <v>#N/A</v>
      </c>
    </row>
    <row r="203" spans="7:7" x14ac:dyDescent="0.2">
      <c r="G203" t="e">
        <f t="shared" si="7"/>
        <v>#N/A</v>
      </c>
    </row>
    <row r="204" spans="7:7" x14ac:dyDescent="0.2">
      <c r="G204" t="e">
        <f t="shared" si="7"/>
        <v>#N/A</v>
      </c>
    </row>
    <row r="205" spans="7:7" x14ac:dyDescent="0.2">
      <c r="G205" t="e">
        <f t="shared" si="7"/>
        <v>#N/A</v>
      </c>
    </row>
    <row r="206" spans="7:7" x14ac:dyDescent="0.2">
      <c r="G206" t="e">
        <f t="shared" si="7"/>
        <v>#N/A</v>
      </c>
    </row>
    <row r="207" spans="7:7" x14ac:dyDescent="0.2">
      <c r="G207" t="e">
        <f t="shared" si="7"/>
        <v>#N/A</v>
      </c>
    </row>
    <row r="208" spans="7:7" x14ac:dyDescent="0.2">
      <c r="G208" t="e">
        <f t="shared" si="7"/>
        <v>#N/A</v>
      </c>
    </row>
    <row r="209" spans="7:7" x14ac:dyDescent="0.2">
      <c r="G209" t="e">
        <f t="shared" si="7"/>
        <v>#N/A</v>
      </c>
    </row>
    <row r="210" spans="7:7" x14ac:dyDescent="0.2">
      <c r="G210" t="e">
        <f t="shared" si="7"/>
        <v>#N/A</v>
      </c>
    </row>
    <row r="211" spans="7:7" x14ac:dyDescent="0.2">
      <c r="G211" t="e">
        <f t="shared" si="7"/>
        <v>#N/A</v>
      </c>
    </row>
    <row r="212" spans="7:7" x14ac:dyDescent="0.2">
      <c r="G212" t="e">
        <f t="shared" si="7"/>
        <v>#N/A</v>
      </c>
    </row>
    <row r="213" spans="7:7" x14ac:dyDescent="0.2">
      <c r="G213" t="e">
        <f t="shared" si="7"/>
        <v>#N/A</v>
      </c>
    </row>
    <row r="214" spans="7:7" x14ac:dyDescent="0.2">
      <c r="G214" t="e">
        <f t="shared" si="7"/>
        <v>#N/A</v>
      </c>
    </row>
    <row r="215" spans="7:7" x14ac:dyDescent="0.2">
      <c r="G215" t="e">
        <f t="shared" si="7"/>
        <v>#N/A</v>
      </c>
    </row>
    <row r="216" spans="7:7" x14ac:dyDescent="0.2">
      <c r="G216" t="e">
        <f t="shared" si="7"/>
        <v>#N/A</v>
      </c>
    </row>
    <row r="217" spans="7:7" x14ac:dyDescent="0.2">
      <c r="G217" t="e">
        <f t="shared" si="7"/>
        <v>#N/A</v>
      </c>
    </row>
    <row r="218" spans="7:7" x14ac:dyDescent="0.2">
      <c r="G218" t="e">
        <f t="shared" si="7"/>
        <v>#N/A</v>
      </c>
    </row>
    <row r="219" spans="7:7" x14ac:dyDescent="0.2">
      <c r="G219" t="e">
        <f t="shared" si="7"/>
        <v>#N/A</v>
      </c>
    </row>
    <row r="220" spans="7:7" x14ac:dyDescent="0.2">
      <c r="G220" t="e">
        <f t="shared" si="7"/>
        <v>#N/A</v>
      </c>
    </row>
    <row r="221" spans="7:7" x14ac:dyDescent="0.2">
      <c r="G221" t="e">
        <f t="shared" si="7"/>
        <v>#N/A</v>
      </c>
    </row>
    <row r="222" spans="7:7" x14ac:dyDescent="0.2">
      <c r="G222" t="e">
        <f t="shared" si="7"/>
        <v>#N/A</v>
      </c>
    </row>
    <row r="223" spans="7:7" x14ac:dyDescent="0.2">
      <c r="G223" t="e">
        <f t="shared" si="7"/>
        <v>#N/A</v>
      </c>
    </row>
    <row r="224" spans="7:7" x14ac:dyDescent="0.2">
      <c r="G224" t="e">
        <f t="shared" si="7"/>
        <v>#N/A</v>
      </c>
    </row>
    <row r="225" spans="7:7" x14ac:dyDescent="0.2">
      <c r="G225" t="e">
        <f t="shared" si="7"/>
        <v>#N/A</v>
      </c>
    </row>
    <row r="226" spans="7:7" x14ac:dyDescent="0.2">
      <c r="G226" t="e">
        <f t="shared" si="7"/>
        <v>#N/A</v>
      </c>
    </row>
    <row r="227" spans="7:7" x14ac:dyDescent="0.2">
      <c r="G227" t="e">
        <f t="shared" si="7"/>
        <v>#N/A</v>
      </c>
    </row>
    <row r="228" spans="7:7" x14ac:dyDescent="0.2">
      <c r="G228" t="e">
        <f t="shared" si="7"/>
        <v>#N/A</v>
      </c>
    </row>
    <row r="229" spans="7:7" x14ac:dyDescent="0.2">
      <c r="G229" t="e">
        <f t="shared" si="7"/>
        <v>#N/A</v>
      </c>
    </row>
    <row r="230" spans="7:7" x14ac:dyDescent="0.2">
      <c r="G230" t="e">
        <f t="shared" si="7"/>
        <v>#N/A</v>
      </c>
    </row>
    <row r="231" spans="7:7" x14ac:dyDescent="0.2">
      <c r="G231" t="e">
        <f t="shared" si="7"/>
        <v>#N/A</v>
      </c>
    </row>
    <row r="232" spans="7:7" x14ac:dyDescent="0.2">
      <c r="G232" t="e">
        <f t="shared" si="7"/>
        <v>#N/A</v>
      </c>
    </row>
    <row r="233" spans="7:7" x14ac:dyDescent="0.2">
      <c r="G233" t="e">
        <f t="shared" si="7"/>
        <v>#N/A</v>
      </c>
    </row>
    <row r="234" spans="7:7" x14ac:dyDescent="0.2">
      <c r="G234" t="e">
        <f t="shared" si="7"/>
        <v>#N/A</v>
      </c>
    </row>
    <row r="235" spans="7:7" x14ac:dyDescent="0.2">
      <c r="G235" t="e">
        <f t="shared" si="7"/>
        <v>#N/A</v>
      </c>
    </row>
    <row r="236" spans="7:7" x14ac:dyDescent="0.2">
      <c r="G236" t="e">
        <f t="shared" si="7"/>
        <v>#N/A</v>
      </c>
    </row>
    <row r="237" spans="7:7" x14ac:dyDescent="0.2">
      <c r="G237" t="e">
        <f t="shared" si="7"/>
        <v>#N/A</v>
      </c>
    </row>
    <row r="238" spans="7:7" x14ac:dyDescent="0.2">
      <c r="G238" t="e">
        <f t="shared" si="7"/>
        <v>#N/A</v>
      </c>
    </row>
    <row r="239" spans="7:7" x14ac:dyDescent="0.2">
      <c r="G239" t="e">
        <f t="shared" si="7"/>
        <v>#N/A</v>
      </c>
    </row>
    <row r="240" spans="7:7" x14ac:dyDescent="0.2">
      <c r="G240" t="e">
        <f t="shared" si="7"/>
        <v>#N/A</v>
      </c>
    </row>
    <row r="241" spans="7:7" x14ac:dyDescent="0.2">
      <c r="G241" t="e">
        <f t="shared" si="7"/>
        <v>#N/A</v>
      </c>
    </row>
    <row r="242" spans="7:7" x14ac:dyDescent="0.2">
      <c r="G242" t="e">
        <f t="shared" si="7"/>
        <v>#N/A</v>
      </c>
    </row>
    <row r="243" spans="7:7" x14ac:dyDescent="0.2">
      <c r="G243" t="e">
        <f t="shared" si="7"/>
        <v>#N/A</v>
      </c>
    </row>
    <row r="244" spans="7:7" x14ac:dyDescent="0.2">
      <c r="G244" t="e">
        <f t="shared" si="7"/>
        <v>#N/A</v>
      </c>
    </row>
    <row r="245" spans="7:7" x14ac:dyDescent="0.2">
      <c r="G245" t="e">
        <f t="shared" si="7"/>
        <v>#N/A</v>
      </c>
    </row>
    <row r="246" spans="7:7" x14ac:dyDescent="0.2">
      <c r="G246" t="e">
        <f t="shared" si="7"/>
        <v>#N/A</v>
      </c>
    </row>
    <row r="247" spans="7:7" x14ac:dyDescent="0.2">
      <c r="G247" t="e">
        <f t="shared" si="7"/>
        <v>#N/A</v>
      </c>
    </row>
    <row r="248" spans="7:7" x14ac:dyDescent="0.2">
      <c r="G248" t="e">
        <f t="shared" si="7"/>
        <v>#N/A</v>
      </c>
    </row>
    <row r="249" spans="7:7" x14ac:dyDescent="0.2">
      <c r="G249" t="e">
        <f t="shared" si="7"/>
        <v>#N/A</v>
      </c>
    </row>
    <row r="250" spans="7:7" x14ac:dyDescent="0.2">
      <c r="G250" t="e">
        <f t="shared" si="7"/>
        <v>#N/A</v>
      </c>
    </row>
    <row r="251" spans="7:7" x14ac:dyDescent="0.2">
      <c r="G251" t="e">
        <f t="shared" si="7"/>
        <v>#N/A</v>
      </c>
    </row>
    <row r="252" spans="7:7" x14ac:dyDescent="0.2">
      <c r="G252" t="e">
        <f t="shared" si="7"/>
        <v>#N/A</v>
      </c>
    </row>
    <row r="253" spans="7:7" x14ac:dyDescent="0.2">
      <c r="G253" t="e">
        <f t="shared" si="7"/>
        <v>#N/A</v>
      </c>
    </row>
    <row r="254" spans="7:7" x14ac:dyDescent="0.2">
      <c r="G254" t="e">
        <f t="shared" si="7"/>
        <v>#N/A</v>
      </c>
    </row>
    <row r="255" spans="7:7" x14ac:dyDescent="0.2">
      <c r="G255" t="e">
        <f t="shared" si="7"/>
        <v>#N/A</v>
      </c>
    </row>
    <row r="256" spans="7:7" x14ac:dyDescent="0.2">
      <c r="G256" t="e">
        <f t="shared" si="7"/>
        <v>#N/A</v>
      </c>
    </row>
    <row r="257" spans="7:7" x14ac:dyDescent="0.2">
      <c r="G257" t="e">
        <f t="shared" si="7"/>
        <v>#N/A</v>
      </c>
    </row>
    <row r="258" spans="7:7" x14ac:dyDescent="0.2">
      <c r="G258" t="e">
        <f t="shared" si="7"/>
        <v>#N/A</v>
      </c>
    </row>
    <row r="259" spans="7:7" x14ac:dyDescent="0.2">
      <c r="G259" t="e">
        <f t="shared" si="7"/>
        <v>#N/A</v>
      </c>
    </row>
    <row r="260" spans="7:7" x14ac:dyDescent="0.2">
      <c r="G260" t="e">
        <f t="shared" ref="G260:G323" si="8">VLOOKUP(E260,$A$2:$C$500,3,FALSE)</f>
        <v>#N/A</v>
      </c>
    </row>
    <row r="261" spans="7:7" x14ac:dyDescent="0.2">
      <c r="G261" t="e">
        <f t="shared" si="8"/>
        <v>#N/A</v>
      </c>
    </row>
    <row r="262" spans="7:7" x14ac:dyDescent="0.2">
      <c r="G262" t="e">
        <f t="shared" si="8"/>
        <v>#N/A</v>
      </c>
    </row>
    <row r="263" spans="7:7" x14ac:dyDescent="0.2">
      <c r="G263" t="e">
        <f t="shared" si="8"/>
        <v>#N/A</v>
      </c>
    </row>
    <row r="264" spans="7:7" x14ac:dyDescent="0.2">
      <c r="G264" t="e">
        <f t="shared" si="8"/>
        <v>#N/A</v>
      </c>
    </row>
    <row r="265" spans="7:7" x14ac:dyDescent="0.2">
      <c r="G265" t="e">
        <f t="shared" si="8"/>
        <v>#N/A</v>
      </c>
    </row>
    <row r="266" spans="7:7" x14ac:dyDescent="0.2">
      <c r="G266" t="e">
        <f t="shared" si="8"/>
        <v>#N/A</v>
      </c>
    </row>
    <row r="267" spans="7:7" x14ac:dyDescent="0.2">
      <c r="G267" t="e">
        <f t="shared" si="8"/>
        <v>#N/A</v>
      </c>
    </row>
    <row r="268" spans="7:7" x14ac:dyDescent="0.2">
      <c r="G268" t="e">
        <f t="shared" si="8"/>
        <v>#N/A</v>
      </c>
    </row>
    <row r="269" spans="7:7" x14ac:dyDescent="0.2">
      <c r="G269" t="e">
        <f t="shared" si="8"/>
        <v>#N/A</v>
      </c>
    </row>
    <row r="270" spans="7:7" x14ac:dyDescent="0.2">
      <c r="G270" t="e">
        <f t="shared" si="8"/>
        <v>#N/A</v>
      </c>
    </row>
    <row r="271" spans="7:7" x14ac:dyDescent="0.2">
      <c r="G271" t="e">
        <f t="shared" si="8"/>
        <v>#N/A</v>
      </c>
    </row>
    <row r="272" spans="7:7" x14ac:dyDescent="0.2">
      <c r="G272" t="e">
        <f t="shared" si="8"/>
        <v>#N/A</v>
      </c>
    </row>
    <row r="273" spans="7:7" x14ac:dyDescent="0.2">
      <c r="G273" t="e">
        <f t="shared" si="8"/>
        <v>#N/A</v>
      </c>
    </row>
    <row r="274" spans="7:7" x14ac:dyDescent="0.2">
      <c r="G274" t="e">
        <f t="shared" si="8"/>
        <v>#N/A</v>
      </c>
    </row>
    <row r="275" spans="7:7" x14ac:dyDescent="0.2">
      <c r="G275" t="e">
        <f t="shared" si="8"/>
        <v>#N/A</v>
      </c>
    </row>
    <row r="276" spans="7:7" x14ac:dyDescent="0.2">
      <c r="G276" t="e">
        <f t="shared" si="8"/>
        <v>#N/A</v>
      </c>
    </row>
    <row r="277" spans="7:7" x14ac:dyDescent="0.2">
      <c r="G277" t="e">
        <f t="shared" si="8"/>
        <v>#N/A</v>
      </c>
    </row>
    <row r="278" spans="7:7" x14ac:dyDescent="0.2">
      <c r="G278" t="e">
        <f t="shared" si="8"/>
        <v>#N/A</v>
      </c>
    </row>
    <row r="279" spans="7:7" x14ac:dyDescent="0.2">
      <c r="G279" t="e">
        <f t="shared" si="8"/>
        <v>#N/A</v>
      </c>
    </row>
    <row r="280" spans="7:7" x14ac:dyDescent="0.2">
      <c r="G280" t="e">
        <f t="shared" si="8"/>
        <v>#N/A</v>
      </c>
    </row>
    <row r="281" spans="7:7" x14ac:dyDescent="0.2">
      <c r="G281" t="e">
        <f t="shared" si="8"/>
        <v>#N/A</v>
      </c>
    </row>
    <row r="282" spans="7:7" x14ac:dyDescent="0.2">
      <c r="G282" t="e">
        <f t="shared" si="8"/>
        <v>#N/A</v>
      </c>
    </row>
    <row r="283" spans="7:7" x14ac:dyDescent="0.2">
      <c r="G283" t="e">
        <f t="shared" si="8"/>
        <v>#N/A</v>
      </c>
    </row>
    <row r="284" spans="7:7" x14ac:dyDescent="0.2">
      <c r="G284" t="e">
        <f t="shared" si="8"/>
        <v>#N/A</v>
      </c>
    </row>
    <row r="285" spans="7:7" x14ac:dyDescent="0.2">
      <c r="G285" t="e">
        <f t="shared" si="8"/>
        <v>#N/A</v>
      </c>
    </row>
    <row r="286" spans="7:7" x14ac:dyDescent="0.2">
      <c r="G286" t="e">
        <f t="shared" si="8"/>
        <v>#N/A</v>
      </c>
    </row>
    <row r="287" spans="7:7" x14ac:dyDescent="0.2">
      <c r="G287" t="e">
        <f t="shared" si="8"/>
        <v>#N/A</v>
      </c>
    </row>
    <row r="288" spans="7:7" x14ac:dyDescent="0.2">
      <c r="G288" t="e">
        <f t="shared" si="8"/>
        <v>#N/A</v>
      </c>
    </row>
    <row r="289" spans="7:7" x14ac:dyDescent="0.2">
      <c r="G289" t="e">
        <f t="shared" si="8"/>
        <v>#N/A</v>
      </c>
    </row>
    <row r="290" spans="7:7" x14ac:dyDescent="0.2">
      <c r="G290" t="e">
        <f t="shared" si="8"/>
        <v>#N/A</v>
      </c>
    </row>
    <row r="291" spans="7:7" x14ac:dyDescent="0.2">
      <c r="G291" t="e">
        <f t="shared" si="8"/>
        <v>#N/A</v>
      </c>
    </row>
    <row r="292" spans="7:7" x14ac:dyDescent="0.2">
      <c r="G292" t="e">
        <f t="shared" si="8"/>
        <v>#N/A</v>
      </c>
    </row>
    <row r="293" spans="7:7" x14ac:dyDescent="0.2">
      <c r="G293" t="e">
        <f t="shared" si="8"/>
        <v>#N/A</v>
      </c>
    </row>
    <row r="294" spans="7:7" x14ac:dyDescent="0.2">
      <c r="G294" t="e">
        <f t="shared" si="8"/>
        <v>#N/A</v>
      </c>
    </row>
    <row r="295" spans="7:7" x14ac:dyDescent="0.2">
      <c r="G295" t="e">
        <f t="shared" si="8"/>
        <v>#N/A</v>
      </c>
    </row>
    <row r="296" spans="7:7" x14ac:dyDescent="0.2">
      <c r="G296" t="e">
        <f t="shared" si="8"/>
        <v>#N/A</v>
      </c>
    </row>
    <row r="297" spans="7:7" x14ac:dyDescent="0.2">
      <c r="G297" t="e">
        <f t="shared" si="8"/>
        <v>#N/A</v>
      </c>
    </row>
    <row r="298" spans="7:7" x14ac:dyDescent="0.2">
      <c r="G298" t="e">
        <f t="shared" si="8"/>
        <v>#N/A</v>
      </c>
    </row>
    <row r="299" spans="7:7" x14ac:dyDescent="0.2">
      <c r="G299" t="e">
        <f t="shared" si="8"/>
        <v>#N/A</v>
      </c>
    </row>
    <row r="300" spans="7:7" x14ac:dyDescent="0.2">
      <c r="G300" t="e">
        <f t="shared" si="8"/>
        <v>#N/A</v>
      </c>
    </row>
    <row r="301" spans="7:7" x14ac:dyDescent="0.2">
      <c r="G301" t="e">
        <f t="shared" si="8"/>
        <v>#N/A</v>
      </c>
    </row>
    <row r="302" spans="7:7" x14ac:dyDescent="0.2">
      <c r="G302" t="e">
        <f t="shared" si="8"/>
        <v>#N/A</v>
      </c>
    </row>
    <row r="303" spans="7:7" x14ac:dyDescent="0.2">
      <c r="G303" t="e">
        <f t="shared" si="8"/>
        <v>#N/A</v>
      </c>
    </row>
    <row r="304" spans="7:7" x14ac:dyDescent="0.2">
      <c r="G304" t="e">
        <f t="shared" si="8"/>
        <v>#N/A</v>
      </c>
    </row>
    <row r="305" spans="7:7" x14ac:dyDescent="0.2">
      <c r="G305" t="e">
        <f t="shared" si="8"/>
        <v>#N/A</v>
      </c>
    </row>
    <row r="306" spans="7:7" x14ac:dyDescent="0.2">
      <c r="G306" t="e">
        <f t="shared" si="8"/>
        <v>#N/A</v>
      </c>
    </row>
    <row r="307" spans="7:7" x14ac:dyDescent="0.2">
      <c r="G307" t="e">
        <f t="shared" si="8"/>
        <v>#N/A</v>
      </c>
    </row>
    <row r="308" spans="7:7" x14ac:dyDescent="0.2">
      <c r="G308" t="e">
        <f t="shared" si="8"/>
        <v>#N/A</v>
      </c>
    </row>
    <row r="309" spans="7:7" x14ac:dyDescent="0.2">
      <c r="G309" t="e">
        <f t="shared" si="8"/>
        <v>#N/A</v>
      </c>
    </row>
    <row r="310" spans="7:7" x14ac:dyDescent="0.2">
      <c r="G310" t="e">
        <f t="shared" si="8"/>
        <v>#N/A</v>
      </c>
    </row>
    <row r="311" spans="7:7" x14ac:dyDescent="0.2">
      <c r="G311" t="e">
        <f t="shared" si="8"/>
        <v>#N/A</v>
      </c>
    </row>
    <row r="312" spans="7:7" x14ac:dyDescent="0.2">
      <c r="G312" t="e">
        <f t="shared" si="8"/>
        <v>#N/A</v>
      </c>
    </row>
    <row r="313" spans="7:7" x14ac:dyDescent="0.2">
      <c r="G313" t="e">
        <f t="shared" si="8"/>
        <v>#N/A</v>
      </c>
    </row>
    <row r="314" spans="7:7" x14ac:dyDescent="0.2">
      <c r="G314" t="e">
        <f t="shared" si="8"/>
        <v>#N/A</v>
      </c>
    </row>
    <row r="315" spans="7:7" x14ac:dyDescent="0.2">
      <c r="G315" t="e">
        <f t="shared" si="8"/>
        <v>#N/A</v>
      </c>
    </row>
    <row r="316" spans="7:7" x14ac:dyDescent="0.2">
      <c r="G316" t="e">
        <f t="shared" si="8"/>
        <v>#N/A</v>
      </c>
    </row>
    <row r="317" spans="7:7" x14ac:dyDescent="0.2">
      <c r="G317" t="e">
        <f t="shared" si="8"/>
        <v>#N/A</v>
      </c>
    </row>
    <row r="318" spans="7:7" x14ac:dyDescent="0.2">
      <c r="G318" t="e">
        <f t="shared" si="8"/>
        <v>#N/A</v>
      </c>
    </row>
    <row r="319" spans="7:7" x14ac:dyDescent="0.2">
      <c r="G319" t="e">
        <f t="shared" si="8"/>
        <v>#N/A</v>
      </c>
    </row>
    <row r="320" spans="7:7" x14ac:dyDescent="0.2">
      <c r="G320" t="e">
        <f t="shared" si="8"/>
        <v>#N/A</v>
      </c>
    </row>
    <row r="321" spans="7:7" x14ac:dyDescent="0.2">
      <c r="G321" t="e">
        <f t="shared" si="8"/>
        <v>#N/A</v>
      </c>
    </row>
    <row r="322" spans="7:7" x14ac:dyDescent="0.2">
      <c r="G322" t="e">
        <f t="shared" si="8"/>
        <v>#N/A</v>
      </c>
    </row>
    <row r="323" spans="7:7" x14ac:dyDescent="0.2">
      <c r="G323" t="e">
        <f t="shared" si="8"/>
        <v>#N/A</v>
      </c>
    </row>
    <row r="324" spans="7:7" x14ac:dyDescent="0.2">
      <c r="G324" t="e">
        <f t="shared" ref="G324:G387" si="9">VLOOKUP(E324,$A$2:$C$500,3,FALSE)</f>
        <v>#N/A</v>
      </c>
    </row>
    <row r="325" spans="7:7" x14ac:dyDescent="0.2">
      <c r="G325" t="e">
        <f t="shared" si="9"/>
        <v>#N/A</v>
      </c>
    </row>
    <row r="326" spans="7:7" x14ac:dyDescent="0.2">
      <c r="G326" t="e">
        <f t="shared" si="9"/>
        <v>#N/A</v>
      </c>
    </row>
    <row r="327" spans="7:7" x14ac:dyDescent="0.2">
      <c r="G327" t="e">
        <f t="shared" si="9"/>
        <v>#N/A</v>
      </c>
    </row>
    <row r="328" spans="7:7" x14ac:dyDescent="0.2">
      <c r="G328" t="e">
        <f t="shared" si="9"/>
        <v>#N/A</v>
      </c>
    </row>
    <row r="329" spans="7:7" x14ac:dyDescent="0.2">
      <c r="G329" t="e">
        <f t="shared" si="9"/>
        <v>#N/A</v>
      </c>
    </row>
    <row r="330" spans="7:7" x14ac:dyDescent="0.2">
      <c r="G330" t="e">
        <f t="shared" si="9"/>
        <v>#N/A</v>
      </c>
    </row>
    <row r="331" spans="7:7" x14ac:dyDescent="0.2">
      <c r="G331" t="e">
        <f t="shared" si="9"/>
        <v>#N/A</v>
      </c>
    </row>
    <row r="332" spans="7:7" x14ac:dyDescent="0.2">
      <c r="G332" t="e">
        <f t="shared" si="9"/>
        <v>#N/A</v>
      </c>
    </row>
    <row r="333" spans="7:7" x14ac:dyDescent="0.2">
      <c r="G333" t="e">
        <f t="shared" si="9"/>
        <v>#N/A</v>
      </c>
    </row>
    <row r="334" spans="7:7" x14ac:dyDescent="0.2">
      <c r="G334" t="e">
        <f t="shared" si="9"/>
        <v>#N/A</v>
      </c>
    </row>
    <row r="335" spans="7:7" x14ac:dyDescent="0.2">
      <c r="G335" t="e">
        <f t="shared" si="9"/>
        <v>#N/A</v>
      </c>
    </row>
    <row r="336" spans="7:7" x14ac:dyDescent="0.2">
      <c r="G336" t="e">
        <f t="shared" si="9"/>
        <v>#N/A</v>
      </c>
    </row>
    <row r="337" spans="7:7" x14ac:dyDescent="0.2">
      <c r="G337" t="e">
        <f t="shared" si="9"/>
        <v>#N/A</v>
      </c>
    </row>
    <row r="338" spans="7:7" x14ac:dyDescent="0.2">
      <c r="G338" t="e">
        <f t="shared" si="9"/>
        <v>#N/A</v>
      </c>
    </row>
    <row r="339" spans="7:7" x14ac:dyDescent="0.2">
      <c r="G339" t="e">
        <f t="shared" si="9"/>
        <v>#N/A</v>
      </c>
    </row>
    <row r="340" spans="7:7" x14ac:dyDescent="0.2">
      <c r="G340" t="e">
        <f t="shared" si="9"/>
        <v>#N/A</v>
      </c>
    </row>
    <row r="341" spans="7:7" x14ac:dyDescent="0.2">
      <c r="G341" t="e">
        <f t="shared" si="9"/>
        <v>#N/A</v>
      </c>
    </row>
    <row r="342" spans="7:7" x14ac:dyDescent="0.2">
      <c r="G342" t="e">
        <f t="shared" si="9"/>
        <v>#N/A</v>
      </c>
    </row>
    <row r="343" spans="7:7" x14ac:dyDescent="0.2">
      <c r="G343" t="e">
        <f t="shared" si="9"/>
        <v>#N/A</v>
      </c>
    </row>
    <row r="344" spans="7:7" x14ac:dyDescent="0.2">
      <c r="G344" t="e">
        <f t="shared" si="9"/>
        <v>#N/A</v>
      </c>
    </row>
    <row r="345" spans="7:7" x14ac:dyDescent="0.2">
      <c r="G345" t="e">
        <f t="shared" si="9"/>
        <v>#N/A</v>
      </c>
    </row>
    <row r="346" spans="7:7" x14ac:dyDescent="0.2">
      <c r="G346" t="e">
        <f t="shared" si="9"/>
        <v>#N/A</v>
      </c>
    </row>
    <row r="347" spans="7:7" x14ac:dyDescent="0.2">
      <c r="G347" t="e">
        <f t="shared" si="9"/>
        <v>#N/A</v>
      </c>
    </row>
    <row r="348" spans="7:7" x14ac:dyDescent="0.2">
      <c r="G348" t="e">
        <f t="shared" si="9"/>
        <v>#N/A</v>
      </c>
    </row>
    <row r="349" spans="7:7" x14ac:dyDescent="0.2">
      <c r="G349" t="e">
        <f t="shared" si="9"/>
        <v>#N/A</v>
      </c>
    </row>
    <row r="350" spans="7:7" x14ac:dyDescent="0.2">
      <c r="G350" t="e">
        <f t="shared" si="9"/>
        <v>#N/A</v>
      </c>
    </row>
    <row r="351" spans="7:7" x14ac:dyDescent="0.2">
      <c r="G351" t="e">
        <f t="shared" si="9"/>
        <v>#N/A</v>
      </c>
    </row>
    <row r="352" spans="7:7" x14ac:dyDescent="0.2">
      <c r="G352" t="e">
        <f t="shared" si="9"/>
        <v>#N/A</v>
      </c>
    </row>
    <row r="353" spans="7:7" x14ac:dyDescent="0.2">
      <c r="G353" t="e">
        <f t="shared" si="9"/>
        <v>#N/A</v>
      </c>
    </row>
    <row r="354" spans="7:7" x14ac:dyDescent="0.2">
      <c r="G354" t="e">
        <f t="shared" si="9"/>
        <v>#N/A</v>
      </c>
    </row>
    <row r="355" spans="7:7" x14ac:dyDescent="0.2">
      <c r="G355" t="e">
        <f t="shared" si="9"/>
        <v>#N/A</v>
      </c>
    </row>
    <row r="356" spans="7:7" x14ac:dyDescent="0.2">
      <c r="G356" t="e">
        <f t="shared" si="9"/>
        <v>#N/A</v>
      </c>
    </row>
    <row r="357" spans="7:7" x14ac:dyDescent="0.2">
      <c r="G357" t="e">
        <f t="shared" si="9"/>
        <v>#N/A</v>
      </c>
    </row>
    <row r="358" spans="7:7" x14ac:dyDescent="0.2">
      <c r="G358" t="e">
        <f t="shared" si="9"/>
        <v>#N/A</v>
      </c>
    </row>
    <row r="359" spans="7:7" x14ac:dyDescent="0.2">
      <c r="G359" t="e">
        <f t="shared" si="9"/>
        <v>#N/A</v>
      </c>
    </row>
    <row r="360" spans="7:7" x14ac:dyDescent="0.2">
      <c r="G360" t="e">
        <f t="shared" si="9"/>
        <v>#N/A</v>
      </c>
    </row>
    <row r="361" spans="7:7" x14ac:dyDescent="0.2">
      <c r="G361" t="e">
        <f t="shared" si="9"/>
        <v>#N/A</v>
      </c>
    </row>
    <row r="362" spans="7:7" x14ac:dyDescent="0.2">
      <c r="G362" t="e">
        <f t="shared" si="9"/>
        <v>#N/A</v>
      </c>
    </row>
    <row r="363" spans="7:7" x14ac:dyDescent="0.2">
      <c r="G363" t="e">
        <f t="shared" si="9"/>
        <v>#N/A</v>
      </c>
    </row>
    <row r="364" spans="7:7" x14ac:dyDescent="0.2">
      <c r="G364" t="e">
        <f t="shared" si="9"/>
        <v>#N/A</v>
      </c>
    </row>
    <row r="365" spans="7:7" x14ac:dyDescent="0.2">
      <c r="G365" t="e">
        <f t="shared" si="9"/>
        <v>#N/A</v>
      </c>
    </row>
    <row r="366" spans="7:7" x14ac:dyDescent="0.2">
      <c r="G366" t="e">
        <f t="shared" si="9"/>
        <v>#N/A</v>
      </c>
    </row>
    <row r="367" spans="7:7" x14ac:dyDescent="0.2">
      <c r="G367" t="e">
        <f t="shared" si="9"/>
        <v>#N/A</v>
      </c>
    </row>
    <row r="368" spans="7:7" x14ac:dyDescent="0.2">
      <c r="G368" t="e">
        <f t="shared" si="9"/>
        <v>#N/A</v>
      </c>
    </row>
    <row r="369" spans="7:7" x14ac:dyDescent="0.2">
      <c r="G369" t="e">
        <f t="shared" si="9"/>
        <v>#N/A</v>
      </c>
    </row>
    <row r="370" spans="7:7" x14ac:dyDescent="0.2">
      <c r="G370" t="e">
        <f t="shared" si="9"/>
        <v>#N/A</v>
      </c>
    </row>
    <row r="371" spans="7:7" x14ac:dyDescent="0.2">
      <c r="G371" t="e">
        <f t="shared" si="9"/>
        <v>#N/A</v>
      </c>
    </row>
    <row r="372" spans="7:7" x14ac:dyDescent="0.2">
      <c r="G372" t="e">
        <f t="shared" si="9"/>
        <v>#N/A</v>
      </c>
    </row>
    <row r="373" spans="7:7" x14ac:dyDescent="0.2">
      <c r="G373" t="e">
        <f t="shared" si="9"/>
        <v>#N/A</v>
      </c>
    </row>
    <row r="374" spans="7:7" x14ac:dyDescent="0.2">
      <c r="G374" t="e">
        <f t="shared" si="9"/>
        <v>#N/A</v>
      </c>
    </row>
    <row r="375" spans="7:7" x14ac:dyDescent="0.2">
      <c r="G375" t="e">
        <f t="shared" si="9"/>
        <v>#N/A</v>
      </c>
    </row>
    <row r="376" spans="7:7" x14ac:dyDescent="0.2">
      <c r="G376" t="e">
        <f t="shared" si="9"/>
        <v>#N/A</v>
      </c>
    </row>
    <row r="377" spans="7:7" x14ac:dyDescent="0.2">
      <c r="G377" t="e">
        <f t="shared" si="9"/>
        <v>#N/A</v>
      </c>
    </row>
    <row r="378" spans="7:7" x14ac:dyDescent="0.2">
      <c r="G378" t="e">
        <f t="shared" si="9"/>
        <v>#N/A</v>
      </c>
    </row>
    <row r="379" spans="7:7" x14ac:dyDescent="0.2">
      <c r="G379" t="e">
        <f t="shared" si="9"/>
        <v>#N/A</v>
      </c>
    </row>
    <row r="380" spans="7:7" x14ac:dyDescent="0.2">
      <c r="G380" t="e">
        <f t="shared" si="9"/>
        <v>#N/A</v>
      </c>
    </row>
    <row r="381" spans="7:7" x14ac:dyDescent="0.2">
      <c r="G381" t="e">
        <f t="shared" si="9"/>
        <v>#N/A</v>
      </c>
    </row>
    <row r="382" spans="7:7" x14ac:dyDescent="0.2">
      <c r="G382" t="e">
        <f t="shared" si="9"/>
        <v>#N/A</v>
      </c>
    </row>
    <row r="383" spans="7:7" x14ac:dyDescent="0.2">
      <c r="G383" t="e">
        <f t="shared" si="9"/>
        <v>#N/A</v>
      </c>
    </row>
    <row r="384" spans="7:7" x14ac:dyDescent="0.2">
      <c r="G384" t="e">
        <f t="shared" si="9"/>
        <v>#N/A</v>
      </c>
    </row>
    <row r="385" spans="7:7" x14ac:dyDescent="0.2">
      <c r="G385" t="e">
        <f t="shared" si="9"/>
        <v>#N/A</v>
      </c>
    </row>
    <row r="386" spans="7:7" x14ac:dyDescent="0.2">
      <c r="G386" t="e">
        <f t="shared" si="9"/>
        <v>#N/A</v>
      </c>
    </row>
    <row r="387" spans="7:7" x14ac:dyDescent="0.2">
      <c r="G387" t="e">
        <f t="shared" si="9"/>
        <v>#N/A</v>
      </c>
    </row>
    <row r="388" spans="7:7" x14ac:dyDescent="0.2">
      <c r="G388" t="e">
        <f t="shared" ref="G388:G451" si="10">VLOOKUP(E388,$A$2:$C$500,3,FALSE)</f>
        <v>#N/A</v>
      </c>
    </row>
    <row r="389" spans="7:7" x14ac:dyDescent="0.2">
      <c r="G389" t="e">
        <f t="shared" si="10"/>
        <v>#N/A</v>
      </c>
    </row>
    <row r="390" spans="7:7" x14ac:dyDescent="0.2">
      <c r="G390" t="e">
        <f t="shared" si="10"/>
        <v>#N/A</v>
      </c>
    </row>
    <row r="391" spans="7:7" x14ac:dyDescent="0.2">
      <c r="G391" t="e">
        <f t="shared" si="10"/>
        <v>#N/A</v>
      </c>
    </row>
    <row r="392" spans="7:7" x14ac:dyDescent="0.2">
      <c r="G392" t="e">
        <f t="shared" si="10"/>
        <v>#N/A</v>
      </c>
    </row>
    <row r="393" spans="7:7" x14ac:dyDescent="0.2">
      <c r="G393" t="e">
        <f t="shared" si="10"/>
        <v>#N/A</v>
      </c>
    </row>
    <row r="394" spans="7:7" x14ac:dyDescent="0.2">
      <c r="G394" t="e">
        <f t="shared" si="10"/>
        <v>#N/A</v>
      </c>
    </row>
    <row r="395" spans="7:7" x14ac:dyDescent="0.2">
      <c r="G395" t="e">
        <f t="shared" si="10"/>
        <v>#N/A</v>
      </c>
    </row>
    <row r="396" spans="7:7" x14ac:dyDescent="0.2">
      <c r="G396" t="e">
        <f t="shared" si="10"/>
        <v>#N/A</v>
      </c>
    </row>
    <row r="397" spans="7:7" x14ac:dyDescent="0.2">
      <c r="G397" t="e">
        <f t="shared" si="10"/>
        <v>#N/A</v>
      </c>
    </row>
    <row r="398" spans="7:7" x14ac:dyDescent="0.2">
      <c r="G398" t="e">
        <f t="shared" si="10"/>
        <v>#N/A</v>
      </c>
    </row>
    <row r="399" spans="7:7" x14ac:dyDescent="0.2">
      <c r="G399" t="e">
        <f t="shared" si="10"/>
        <v>#N/A</v>
      </c>
    </row>
    <row r="400" spans="7:7" x14ac:dyDescent="0.2">
      <c r="G400" t="e">
        <f t="shared" si="10"/>
        <v>#N/A</v>
      </c>
    </row>
    <row r="401" spans="7:7" x14ac:dyDescent="0.2">
      <c r="G401" t="e">
        <f t="shared" si="10"/>
        <v>#N/A</v>
      </c>
    </row>
    <row r="402" spans="7:7" x14ac:dyDescent="0.2">
      <c r="G402" t="e">
        <f t="shared" si="10"/>
        <v>#N/A</v>
      </c>
    </row>
    <row r="403" spans="7:7" x14ac:dyDescent="0.2">
      <c r="G403" t="e">
        <f t="shared" si="10"/>
        <v>#N/A</v>
      </c>
    </row>
    <row r="404" spans="7:7" x14ac:dyDescent="0.2">
      <c r="G404" t="e">
        <f t="shared" si="10"/>
        <v>#N/A</v>
      </c>
    </row>
    <row r="405" spans="7:7" x14ac:dyDescent="0.2">
      <c r="G405" t="e">
        <f t="shared" si="10"/>
        <v>#N/A</v>
      </c>
    </row>
    <row r="406" spans="7:7" x14ac:dyDescent="0.2">
      <c r="G406" t="e">
        <f t="shared" si="10"/>
        <v>#N/A</v>
      </c>
    </row>
    <row r="407" spans="7:7" x14ac:dyDescent="0.2">
      <c r="G407" t="e">
        <f t="shared" si="10"/>
        <v>#N/A</v>
      </c>
    </row>
    <row r="408" spans="7:7" x14ac:dyDescent="0.2">
      <c r="G408" t="e">
        <f t="shared" si="10"/>
        <v>#N/A</v>
      </c>
    </row>
    <row r="409" spans="7:7" x14ac:dyDescent="0.2">
      <c r="G409" t="e">
        <f t="shared" si="10"/>
        <v>#N/A</v>
      </c>
    </row>
    <row r="410" spans="7:7" x14ac:dyDescent="0.2">
      <c r="G410" t="e">
        <f t="shared" si="10"/>
        <v>#N/A</v>
      </c>
    </row>
    <row r="411" spans="7:7" x14ac:dyDescent="0.2">
      <c r="G411" t="e">
        <f t="shared" si="10"/>
        <v>#N/A</v>
      </c>
    </row>
    <row r="412" spans="7:7" x14ac:dyDescent="0.2">
      <c r="G412" t="e">
        <f t="shared" si="10"/>
        <v>#N/A</v>
      </c>
    </row>
    <row r="413" spans="7:7" x14ac:dyDescent="0.2">
      <c r="G413" t="e">
        <f t="shared" si="10"/>
        <v>#N/A</v>
      </c>
    </row>
    <row r="414" spans="7:7" x14ac:dyDescent="0.2">
      <c r="G414" t="e">
        <f t="shared" si="10"/>
        <v>#N/A</v>
      </c>
    </row>
    <row r="415" spans="7:7" x14ac:dyDescent="0.2">
      <c r="G415" t="e">
        <f t="shared" si="10"/>
        <v>#N/A</v>
      </c>
    </row>
    <row r="416" spans="7:7" x14ac:dyDescent="0.2">
      <c r="G416" t="e">
        <f t="shared" si="10"/>
        <v>#N/A</v>
      </c>
    </row>
    <row r="417" spans="7:7" x14ac:dyDescent="0.2">
      <c r="G417" t="e">
        <f t="shared" si="10"/>
        <v>#N/A</v>
      </c>
    </row>
    <row r="418" spans="7:7" x14ac:dyDescent="0.2">
      <c r="G418" t="e">
        <f t="shared" si="10"/>
        <v>#N/A</v>
      </c>
    </row>
    <row r="419" spans="7:7" x14ac:dyDescent="0.2">
      <c r="G419" t="e">
        <f t="shared" si="10"/>
        <v>#N/A</v>
      </c>
    </row>
    <row r="420" spans="7:7" x14ac:dyDescent="0.2">
      <c r="G420" t="e">
        <f t="shared" si="10"/>
        <v>#N/A</v>
      </c>
    </row>
    <row r="421" spans="7:7" x14ac:dyDescent="0.2">
      <c r="G421" t="e">
        <f t="shared" si="10"/>
        <v>#N/A</v>
      </c>
    </row>
    <row r="422" spans="7:7" x14ac:dyDescent="0.2">
      <c r="G422" t="e">
        <f t="shared" si="10"/>
        <v>#N/A</v>
      </c>
    </row>
    <row r="423" spans="7:7" x14ac:dyDescent="0.2">
      <c r="G423" t="e">
        <f t="shared" si="10"/>
        <v>#N/A</v>
      </c>
    </row>
    <row r="424" spans="7:7" x14ac:dyDescent="0.2">
      <c r="G424" t="e">
        <f t="shared" si="10"/>
        <v>#N/A</v>
      </c>
    </row>
    <row r="425" spans="7:7" x14ac:dyDescent="0.2">
      <c r="G425" t="e">
        <f t="shared" si="10"/>
        <v>#N/A</v>
      </c>
    </row>
    <row r="426" spans="7:7" x14ac:dyDescent="0.2">
      <c r="G426" t="e">
        <f t="shared" si="10"/>
        <v>#N/A</v>
      </c>
    </row>
    <row r="427" spans="7:7" x14ac:dyDescent="0.2">
      <c r="G427" t="e">
        <f t="shared" si="10"/>
        <v>#N/A</v>
      </c>
    </row>
    <row r="428" spans="7:7" x14ac:dyDescent="0.2">
      <c r="G428" t="e">
        <f t="shared" si="10"/>
        <v>#N/A</v>
      </c>
    </row>
    <row r="429" spans="7:7" x14ac:dyDescent="0.2">
      <c r="G429" t="e">
        <f t="shared" si="10"/>
        <v>#N/A</v>
      </c>
    </row>
    <row r="430" spans="7:7" x14ac:dyDescent="0.2">
      <c r="G430" t="e">
        <f t="shared" si="10"/>
        <v>#N/A</v>
      </c>
    </row>
    <row r="431" spans="7:7" x14ac:dyDescent="0.2">
      <c r="G431" t="e">
        <f t="shared" si="10"/>
        <v>#N/A</v>
      </c>
    </row>
    <row r="432" spans="7:7" x14ac:dyDescent="0.2">
      <c r="G432" t="e">
        <f t="shared" si="10"/>
        <v>#N/A</v>
      </c>
    </row>
    <row r="433" spans="7:7" x14ac:dyDescent="0.2">
      <c r="G433" t="e">
        <f t="shared" si="10"/>
        <v>#N/A</v>
      </c>
    </row>
    <row r="434" spans="7:7" x14ac:dyDescent="0.2">
      <c r="G434" t="e">
        <f t="shared" si="10"/>
        <v>#N/A</v>
      </c>
    </row>
    <row r="435" spans="7:7" x14ac:dyDescent="0.2">
      <c r="G435" t="e">
        <f t="shared" si="10"/>
        <v>#N/A</v>
      </c>
    </row>
    <row r="436" spans="7:7" x14ac:dyDescent="0.2">
      <c r="G436" t="e">
        <f t="shared" si="10"/>
        <v>#N/A</v>
      </c>
    </row>
    <row r="437" spans="7:7" x14ac:dyDescent="0.2">
      <c r="G437" t="e">
        <f t="shared" si="10"/>
        <v>#N/A</v>
      </c>
    </row>
    <row r="438" spans="7:7" x14ac:dyDescent="0.2">
      <c r="G438" t="e">
        <f t="shared" si="10"/>
        <v>#N/A</v>
      </c>
    </row>
    <row r="439" spans="7:7" x14ac:dyDescent="0.2">
      <c r="G439" t="e">
        <f t="shared" si="10"/>
        <v>#N/A</v>
      </c>
    </row>
    <row r="440" spans="7:7" x14ac:dyDescent="0.2">
      <c r="G440" t="e">
        <f t="shared" si="10"/>
        <v>#N/A</v>
      </c>
    </row>
    <row r="441" spans="7:7" x14ac:dyDescent="0.2">
      <c r="G441" t="e">
        <f t="shared" si="10"/>
        <v>#N/A</v>
      </c>
    </row>
    <row r="442" spans="7:7" x14ac:dyDescent="0.2">
      <c r="G442" t="e">
        <f t="shared" si="10"/>
        <v>#N/A</v>
      </c>
    </row>
    <row r="443" spans="7:7" x14ac:dyDescent="0.2">
      <c r="G443" t="e">
        <f t="shared" si="10"/>
        <v>#N/A</v>
      </c>
    </row>
    <row r="444" spans="7:7" x14ac:dyDescent="0.2">
      <c r="G444" t="e">
        <f t="shared" si="10"/>
        <v>#N/A</v>
      </c>
    </row>
    <row r="445" spans="7:7" x14ac:dyDescent="0.2">
      <c r="G445" t="e">
        <f t="shared" si="10"/>
        <v>#N/A</v>
      </c>
    </row>
    <row r="446" spans="7:7" x14ac:dyDescent="0.2">
      <c r="G446" t="e">
        <f t="shared" si="10"/>
        <v>#N/A</v>
      </c>
    </row>
    <row r="447" spans="7:7" x14ac:dyDescent="0.2">
      <c r="G447" t="e">
        <f t="shared" si="10"/>
        <v>#N/A</v>
      </c>
    </row>
    <row r="448" spans="7:7" x14ac:dyDescent="0.2">
      <c r="G448" t="e">
        <f t="shared" si="10"/>
        <v>#N/A</v>
      </c>
    </row>
    <row r="449" spans="7:7" x14ac:dyDescent="0.2">
      <c r="G449" t="e">
        <f t="shared" si="10"/>
        <v>#N/A</v>
      </c>
    </row>
    <row r="450" spans="7:7" x14ac:dyDescent="0.2">
      <c r="G450" t="e">
        <f t="shared" si="10"/>
        <v>#N/A</v>
      </c>
    </row>
    <row r="451" spans="7:7" x14ac:dyDescent="0.2">
      <c r="G451" t="e">
        <f t="shared" si="10"/>
        <v>#N/A</v>
      </c>
    </row>
    <row r="452" spans="7:7" x14ac:dyDescent="0.2">
      <c r="G452" t="e">
        <f t="shared" ref="G452:G500" si="11">VLOOKUP(E452,$A$2:$C$500,3,FALSE)</f>
        <v>#N/A</v>
      </c>
    </row>
    <row r="453" spans="7:7" x14ac:dyDescent="0.2">
      <c r="G453" t="e">
        <f t="shared" si="11"/>
        <v>#N/A</v>
      </c>
    </row>
    <row r="454" spans="7:7" x14ac:dyDescent="0.2">
      <c r="G454" t="e">
        <f t="shared" si="11"/>
        <v>#N/A</v>
      </c>
    </row>
    <row r="455" spans="7:7" x14ac:dyDescent="0.2">
      <c r="G455" t="e">
        <f t="shared" si="11"/>
        <v>#N/A</v>
      </c>
    </row>
    <row r="456" spans="7:7" x14ac:dyDescent="0.2">
      <c r="G456" t="e">
        <f t="shared" si="11"/>
        <v>#N/A</v>
      </c>
    </row>
    <row r="457" spans="7:7" x14ac:dyDescent="0.2">
      <c r="G457" t="e">
        <f t="shared" si="11"/>
        <v>#N/A</v>
      </c>
    </row>
    <row r="458" spans="7:7" x14ac:dyDescent="0.2">
      <c r="G458" t="e">
        <f t="shared" si="11"/>
        <v>#N/A</v>
      </c>
    </row>
    <row r="459" spans="7:7" x14ac:dyDescent="0.2">
      <c r="G459" t="e">
        <f t="shared" si="11"/>
        <v>#N/A</v>
      </c>
    </row>
    <row r="460" spans="7:7" x14ac:dyDescent="0.2">
      <c r="G460" t="e">
        <f t="shared" si="11"/>
        <v>#N/A</v>
      </c>
    </row>
    <row r="461" spans="7:7" x14ac:dyDescent="0.2">
      <c r="G461" t="e">
        <f t="shared" si="11"/>
        <v>#N/A</v>
      </c>
    </row>
    <row r="462" spans="7:7" x14ac:dyDescent="0.2">
      <c r="G462" t="e">
        <f t="shared" si="11"/>
        <v>#N/A</v>
      </c>
    </row>
    <row r="463" spans="7:7" x14ac:dyDescent="0.2">
      <c r="G463" t="e">
        <f t="shared" si="11"/>
        <v>#N/A</v>
      </c>
    </row>
    <row r="464" spans="7:7" x14ac:dyDescent="0.2">
      <c r="G464" t="e">
        <f t="shared" si="11"/>
        <v>#N/A</v>
      </c>
    </row>
    <row r="465" spans="7:7" x14ac:dyDescent="0.2">
      <c r="G465" t="e">
        <f t="shared" si="11"/>
        <v>#N/A</v>
      </c>
    </row>
    <row r="466" spans="7:7" x14ac:dyDescent="0.2">
      <c r="G466" t="e">
        <f t="shared" si="11"/>
        <v>#N/A</v>
      </c>
    </row>
    <row r="467" spans="7:7" x14ac:dyDescent="0.2">
      <c r="G467" t="e">
        <f t="shared" si="11"/>
        <v>#N/A</v>
      </c>
    </row>
    <row r="468" spans="7:7" x14ac:dyDescent="0.2">
      <c r="G468" t="e">
        <f t="shared" si="11"/>
        <v>#N/A</v>
      </c>
    </row>
    <row r="469" spans="7:7" x14ac:dyDescent="0.2">
      <c r="G469" t="e">
        <f t="shared" si="11"/>
        <v>#N/A</v>
      </c>
    </row>
    <row r="470" spans="7:7" x14ac:dyDescent="0.2">
      <c r="G470" t="e">
        <f t="shared" si="11"/>
        <v>#N/A</v>
      </c>
    </row>
    <row r="471" spans="7:7" x14ac:dyDescent="0.2">
      <c r="G471" t="e">
        <f t="shared" si="11"/>
        <v>#N/A</v>
      </c>
    </row>
    <row r="472" spans="7:7" x14ac:dyDescent="0.2">
      <c r="G472" t="e">
        <f t="shared" si="11"/>
        <v>#N/A</v>
      </c>
    </row>
    <row r="473" spans="7:7" x14ac:dyDescent="0.2">
      <c r="G473" t="e">
        <f t="shared" si="11"/>
        <v>#N/A</v>
      </c>
    </row>
    <row r="474" spans="7:7" x14ac:dyDescent="0.2">
      <c r="G474" t="e">
        <f t="shared" si="11"/>
        <v>#N/A</v>
      </c>
    </row>
    <row r="475" spans="7:7" x14ac:dyDescent="0.2">
      <c r="G475" t="e">
        <f t="shared" si="11"/>
        <v>#N/A</v>
      </c>
    </row>
    <row r="476" spans="7:7" x14ac:dyDescent="0.2">
      <c r="G476" t="e">
        <f t="shared" si="11"/>
        <v>#N/A</v>
      </c>
    </row>
    <row r="477" spans="7:7" x14ac:dyDescent="0.2">
      <c r="G477" t="e">
        <f t="shared" si="11"/>
        <v>#N/A</v>
      </c>
    </row>
    <row r="478" spans="7:7" x14ac:dyDescent="0.2">
      <c r="G478" t="e">
        <f t="shared" si="11"/>
        <v>#N/A</v>
      </c>
    </row>
    <row r="479" spans="7:7" x14ac:dyDescent="0.2">
      <c r="G479" t="e">
        <f t="shared" si="11"/>
        <v>#N/A</v>
      </c>
    </row>
    <row r="480" spans="7:7" x14ac:dyDescent="0.2">
      <c r="G480" t="e">
        <f t="shared" si="11"/>
        <v>#N/A</v>
      </c>
    </row>
    <row r="481" spans="7:7" x14ac:dyDescent="0.2">
      <c r="G481" t="e">
        <f t="shared" si="11"/>
        <v>#N/A</v>
      </c>
    </row>
    <row r="482" spans="7:7" x14ac:dyDescent="0.2">
      <c r="G482" t="e">
        <f t="shared" si="11"/>
        <v>#N/A</v>
      </c>
    </row>
    <row r="483" spans="7:7" x14ac:dyDescent="0.2">
      <c r="G483" t="e">
        <f t="shared" si="11"/>
        <v>#N/A</v>
      </c>
    </row>
    <row r="484" spans="7:7" x14ac:dyDescent="0.2">
      <c r="G484" t="e">
        <f t="shared" si="11"/>
        <v>#N/A</v>
      </c>
    </row>
    <row r="485" spans="7:7" x14ac:dyDescent="0.2">
      <c r="G485" t="e">
        <f t="shared" si="11"/>
        <v>#N/A</v>
      </c>
    </row>
    <row r="486" spans="7:7" x14ac:dyDescent="0.2">
      <c r="G486" t="e">
        <f t="shared" si="11"/>
        <v>#N/A</v>
      </c>
    </row>
    <row r="487" spans="7:7" x14ac:dyDescent="0.2">
      <c r="G487" t="e">
        <f t="shared" si="11"/>
        <v>#N/A</v>
      </c>
    </row>
    <row r="488" spans="7:7" x14ac:dyDescent="0.2">
      <c r="G488" t="e">
        <f t="shared" si="11"/>
        <v>#N/A</v>
      </c>
    </row>
    <row r="489" spans="7:7" x14ac:dyDescent="0.2">
      <c r="G489" t="e">
        <f t="shared" si="11"/>
        <v>#N/A</v>
      </c>
    </row>
    <row r="490" spans="7:7" x14ac:dyDescent="0.2">
      <c r="G490" t="e">
        <f t="shared" si="11"/>
        <v>#N/A</v>
      </c>
    </row>
    <row r="491" spans="7:7" x14ac:dyDescent="0.2">
      <c r="G491" t="e">
        <f t="shared" si="11"/>
        <v>#N/A</v>
      </c>
    </row>
    <row r="492" spans="7:7" x14ac:dyDescent="0.2">
      <c r="G492" t="e">
        <f t="shared" si="11"/>
        <v>#N/A</v>
      </c>
    </row>
    <row r="493" spans="7:7" x14ac:dyDescent="0.2">
      <c r="G493" t="e">
        <f t="shared" si="11"/>
        <v>#N/A</v>
      </c>
    </row>
    <row r="494" spans="7:7" x14ac:dyDescent="0.2">
      <c r="G494" t="e">
        <f t="shared" si="11"/>
        <v>#N/A</v>
      </c>
    </row>
    <row r="495" spans="7:7" x14ac:dyDescent="0.2">
      <c r="G495" t="e">
        <f t="shared" si="11"/>
        <v>#N/A</v>
      </c>
    </row>
    <row r="496" spans="7:7" x14ac:dyDescent="0.2">
      <c r="G496" t="e">
        <f t="shared" si="11"/>
        <v>#N/A</v>
      </c>
    </row>
    <row r="497" spans="7:7" x14ac:dyDescent="0.2">
      <c r="G497" t="e">
        <f t="shared" si="11"/>
        <v>#N/A</v>
      </c>
    </row>
    <row r="498" spans="7:7" x14ac:dyDescent="0.2">
      <c r="G498" t="e">
        <f t="shared" si="11"/>
        <v>#N/A</v>
      </c>
    </row>
    <row r="499" spans="7:7" x14ac:dyDescent="0.2">
      <c r="G499" t="e">
        <f t="shared" si="11"/>
        <v>#N/A</v>
      </c>
    </row>
    <row r="500" spans="7:7" x14ac:dyDescent="0.2">
      <c r="G500" t="e">
        <f t="shared" si="11"/>
        <v>#N/A</v>
      </c>
    </row>
  </sheetData>
  <sheetProtection password="D78B" sheet="1" objects="1" scenarios="1"/>
  <phoneticPr fontId="4"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26"/>
  </sheetPr>
  <dimension ref="B2:AC59"/>
  <sheetViews>
    <sheetView workbookViewId="0"/>
  </sheetViews>
  <sheetFormatPr defaultRowHeight="12.75" x14ac:dyDescent="0.2"/>
  <cols>
    <col min="1" max="1" width="2.7109375" style="1" customWidth="1"/>
    <col min="2" max="2" width="1.7109375" style="1" customWidth="1"/>
    <col min="3" max="6" width="9.140625" style="1"/>
    <col min="7" max="7" width="12.7109375" style="1" customWidth="1"/>
    <col min="8" max="8" width="1.85546875" style="1" customWidth="1"/>
    <col min="9" max="12" width="9.140625" style="1"/>
    <col min="13" max="13" width="4.42578125" style="1" customWidth="1"/>
    <col min="14" max="14" width="8.7109375" style="1" customWidth="1"/>
    <col min="15" max="15" width="3.85546875" style="1" customWidth="1"/>
    <col min="16" max="16" width="4" style="1" customWidth="1"/>
    <col min="17" max="17" width="1.5703125" style="1" customWidth="1"/>
    <col min="18" max="18" width="23.85546875" style="1" customWidth="1"/>
    <col min="19" max="19" width="8.5703125" style="1" customWidth="1"/>
    <col min="20" max="20" width="12.5703125" style="1" customWidth="1"/>
    <col min="21" max="28" width="11.28515625" style="1" customWidth="1"/>
    <col min="29" max="29" width="2.28515625" style="1" customWidth="1"/>
    <col min="30" max="16384" width="9.140625" style="1"/>
  </cols>
  <sheetData>
    <row r="2" spans="5:12" ht="20.25" x14ac:dyDescent="0.3">
      <c r="E2" s="302" t="s">
        <v>211</v>
      </c>
      <c r="F2" s="303"/>
      <c r="G2" s="303"/>
      <c r="H2" s="303"/>
      <c r="I2" s="303"/>
      <c r="J2" s="303"/>
      <c r="K2" s="303"/>
      <c r="L2" s="303"/>
    </row>
    <row r="27" spans="2:29" ht="8.25" customHeight="1" x14ac:dyDescent="0.2"/>
    <row r="28" spans="2:29" ht="12" customHeight="1" x14ac:dyDescent="0.2"/>
    <row r="29" spans="2:29" ht="14.25" customHeight="1" thickBot="1" x14ac:dyDescent="0.25">
      <c r="B29" s="23"/>
      <c r="C29" s="24"/>
      <c r="D29" s="24"/>
      <c r="E29" s="24"/>
      <c r="F29" s="24"/>
      <c r="G29" s="24"/>
      <c r="H29" s="24"/>
      <c r="I29" s="24"/>
      <c r="J29" s="24"/>
      <c r="K29" s="24"/>
      <c r="L29" s="24"/>
      <c r="M29" s="24"/>
      <c r="N29" s="24"/>
      <c r="O29" s="25"/>
      <c r="Q29" s="11"/>
      <c r="R29" s="2"/>
      <c r="S29" s="2"/>
      <c r="T29" s="2"/>
      <c r="U29" s="2"/>
      <c r="V29" s="2"/>
      <c r="W29" s="2"/>
      <c r="X29" s="2"/>
      <c r="Y29" s="2"/>
      <c r="Z29" s="2"/>
      <c r="AA29" s="2"/>
      <c r="AB29" s="2"/>
      <c r="AC29" s="3"/>
    </row>
    <row r="30" spans="2:29" ht="20.25" customHeight="1" thickTop="1" thickBot="1" x14ac:dyDescent="0.3">
      <c r="B30" s="26"/>
      <c r="C30" s="27" t="s">
        <v>125</v>
      </c>
      <c r="D30" s="28"/>
      <c r="E30" s="28"/>
      <c r="F30" s="28"/>
      <c r="G30" s="29" t="str">
        <f>IF(totalcases&gt;0,caseloadsavings/totalcases,"")</f>
        <v/>
      </c>
      <c r="H30" s="28"/>
      <c r="I30" s="262" t="s">
        <v>133</v>
      </c>
      <c r="J30" s="263"/>
      <c r="K30" s="263"/>
      <c r="L30" s="263"/>
      <c r="M30" s="264"/>
      <c r="N30" s="261">
        <v>0</v>
      </c>
      <c r="O30" s="30"/>
      <c r="Q30" s="54"/>
      <c r="R30" s="57" t="s">
        <v>134</v>
      </c>
      <c r="S30" s="55"/>
      <c r="T30" s="55"/>
      <c r="U30" s="65">
        <v>2</v>
      </c>
      <c r="V30" s="55"/>
      <c r="W30" s="55"/>
      <c r="X30" s="55"/>
      <c r="Y30" s="55"/>
      <c r="Z30" s="55"/>
      <c r="AA30" s="55"/>
      <c r="AB30" s="55"/>
      <c r="AC30" s="56"/>
    </row>
    <row r="31" spans="2:29" ht="15.75" customHeight="1" thickTop="1" thickBot="1" x14ac:dyDescent="0.3">
      <c r="B31" s="26"/>
      <c r="C31" s="31" t="s">
        <v>126</v>
      </c>
      <c r="D31" s="32"/>
      <c r="E31" s="32"/>
      <c r="F31" s="32"/>
      <c r="G31" s="33" t="str">
        <f>IF(totalindividuals&gt;0,caseloadsavings/totalindividuals,"")</f>
        <v/>
      </c>
      <c r="H31" s="28"/>
      <c r="I31" s="265" t="s">
        <v>143</v>
      </c>
      <c r="J31" s="266"/>
      <c r="K31" s="266"/>
      <c r="L31" s="266"/>
      <c r="M31" s="267"/>
      <c r="N31" s="268"/>
      <c r="O31" s="30"/>
      <c r="Q31" s="10"/>
      <c r="R31" s="4"/>
      <c r="S31" s="4"/>
      <c r="T31" s="4"/>
      <c r="U31" s="4"/>
      <c r="V31" s="4"/>
      <c r="W31" s="4"/>
      <c r="X31" s="4"/>
      <c r="Y31" s="4"/>
      <c r="Z31" s="4"/>
      <c r="AA31" s="4"/>
      <c r="AB31" s="4"/>
      <c r="AC31" s="5"/>
    </row>
    <row r="32" spans="2:29" ht="15.75" thickBot="1" x14ac:dyDescent="0.3">
      <c r="B32" s="26"/>
      <c r="C32" s="31"/>
      <c r="D32" s="32"/>
      <c r="E32" s="32"/>
      <c r="F32" s="32"/>
      <c r="G32" s="33"/>
      <c r="H32" s="28"/>
      <c r="I32" s="269" t="s">
        <v>140</v>
      </c>
      <c r="J32" s="270"/>
      <c r="K32" s="270"/>
      <c r="L32" s="270"/>
      <c r="M32" s="271"/>
      <c r="N32" s="272"/>
      <c r="O32" s="30"/>
      <c r="Q32" s="10"/>
      <c r="R32" s="53" t="s">
        <v>129</v>
      </c>
      <c r="S32" s="47">
        <v>2010</v>
      </c>
      <c r="T32" s="52"/>
      <c r="W32" s="4"/>
      <c r="X32" s="4"/>
      <c r="Y32" s="4"/>
      <c r="Z32" s="4"/>
      <c r="AA32" s="4"/>
      <c r="AB32" s="4"/>
      <c r="AC32" s="5"/>
    </row>
    <row r="33" spans="2:29" ht="13.5" thickBot="1" x14ac:dyDescent="0.25">
      <c r="B33" s="26"/>
      <c r="C33" s="48" t="s">
        <v>128</v>
      </c>
      <c r="D33" s="28"/>
      <c r="E33" s="28"/>
      <c r="F33" s="28"/>
      <c r="G33" s="28"/>
      <c r="H33" s="28"/>
      <c r="I33" s="254"/>
      <c r="J33" s="254"/>
      <c r="K33" s="254"/>
      <c r="L33" s="254"/>
      <c r="M33" s="254"/>
      <c r="N33" s="254"/>
      <c r="O33" s="30"/>
      <c r="Q33" s="10"/>
      <c r="R33" s="51" t="s">
        <v>130</v>
      </c>
      <c r="S33" s="58">
        <v>4</v>
      </c>
      <c r="AC33" s="50"/>
    </row>
    <row r="34" spans="2:29" ht="18.75" customHeight="1" x14ac:dyDescent="0.2">
      <c r="B34" s="26"/>
      <c r="C34" s="28"/>
      <c r="D34" s="28"/>
      <c r="E34" s="28"/>
      <c r="F34" s="28"/>
      <c r="G34" s="28"/>
      <c r="H34" s="28"/>
      <c r="I34" s="254"/>
      <c r="J34" s="254"/>
      <c r="K34" s="254"/>
      <c r="L34" s="254"/>
      <c r="M34" s="254"/>
      <c r="N34" s="254"/>
      <c r="O34" s="30"/>
      <c r="Q34" s="10"/>
      <c r="R34" s="51"/>
      <c r="S34" s="59"/>
      <c r="AC34" s="50"/>
    </row>
    <row r="35" spans="2:29" ht="13.5" thickBot="1" x14ac:dyDescent="0.25">
      <c r="B35" s="26"/>
      <c r="C35" s="28" t="s">
        <v>3</v>
      </c>
      <c r="D35" s="28"/>
      <c r="E35" s="28"/>
      <c r="F35" s="28"/>
      <c r="G35" s="34" t="str">
        <f>IF(totalcases&gt;0,Start!V15/totalcases,"")</f>
        <v/>
      </c>
      <c r="H35" s="28"/>
      <c r="I35" s="254" t="s">
        <v>3</v>
      </c>
      <c r="J35" s="254"/>
      <c r="K35" s="254"/>
      <c r="L35" s="254"/>
      <c r="M35" s="363">
        <f t="shared" ref="M35:M40" si="0">IF(ISNUMBER(G35),$N$30*G35,0)</f>
        <v>0</v>
      </c>
      <c r="N35" s="364"/>
      <c r="O35" s="30"/>
      <c r="Q35" s="10"/>
      <c r="R35" s="4"/>
      <c r="S35" s="4"/>
      <c r="T35" s="49">
        <v>1</v>
      </c>
      <c r="U35" s="49">
        <f>T35+1</f>
        <v>2</v>
      </c>
      <c r="V35" s="49">
        <f t="shared" ref="V35:AB35" si="1">U35+1</f>
        <v>3</v>
      </c>
      <c r="W35" s="49">
        <f t="shared" si="1"/>
        <v>4</v>
      </c>
      <c r="X35" s="49">
        <f t="shared" si="1"/>
        <v>5</v>
      </c>
      <c r="Y35" s="49">
        <f t="shared" si="1"/>
        <v>6</v>
      </c>
      <c r="Z35" s="49">
        <f t="shared" si="1"/>
        <v>7</v>
      </c>
      <c r="AA35" s="49">
        <f t="shared" si="1"/>
        <v>8</v>
      </c>
      <c r="AB35" s="49">
        <f t="shared" si="1"/>
        <v>9</v>
      </c>
      <c r="AC35" s="50"/>
    </row>
    <row r="36" spans="2:29" ht="13.5" thickBot="1" x14ac:dyDescent="0.25">
      <c r="B36" s="26"/>
      <c r="C36" s="28" t="s">
        <v>54</v>
      </c>
      <c r="D36" s="28"/>
      <c r="E36" s="28"/>
      <c r="F36" s="28"/>
      <c r="G36" s="34" t="str">
        <f>IF(totalcases&gt;0,Start!V16/totalcases,"")</f>
        <v/>
      </c>
      <c r="H36" s="28"/>
      <c r="I36" s="254" t="s">
        <v>54</v>
      </c>
      <c r="J36" s="254"/>
      <c r="K36" s="254"/>
      <c r="L36" s="254"/>
      <c r="M36" s="363">
        <f t="shared" si="0"/>
        <v>0</v>
      </c>
      <c r="N36" s="364"/>
      <c r="O36" s="30"/>
      <c r="Q36" s="10"/>
      <c r="R36" s="43" t="s">
        <v>132</v>
      </c>
      <c r="S36" s="4"/>
      <c r="T36" s="62" t="s">
        <v>148</v>
      </c>
      <c r="U36" s="62" t="str">
        <f t="shared" ref="U36:AB36" si="2">IF(ISNUMBER(startyear),IF(T35&lt;=numyears,CONCATENATE(startyear+S35,"/",TEXT((startyear+T35)-2000,"0#")),""),"")</f>
        <v>2010/11</v>
      </c>
      <c r="V36" s="63" t="str">
        <f t="shared" si="2"/>
        <v>2011/12</v>
      </c>
      <c r="W36" s="63" t="str">
        <f t="shared" si="2"/>
        <v>2012/13</v>
      </c>
      <c r="X36" s="63" t="str">
        <f t="shared" si="2"/>
        <v>2013/14</v>
      </c>
      <c r="Y36" s="63" t="str">
        <f t="shared" si="2"/>
        <v/>
      </c>
      <c r="Z36" s="63" t="str">
        <f t="shared" si="2"/>
        <v/>
      </c>
      <c r="AA36" s="63" t="str">
        <f t="shared" si="2"/>
        <v/>
      </c>
      <c r="AB36" s="64" t="str">
        <f t="shared" si="2"/>
        <v/>
      </c>
      <c r="AC36" s="39"/>
    </row>
    <row r="37" spans="2:29" ht="13.5" thickBot="1" x14ac:dyDescent="0.25">
      <c r="B37" s="26"/>
      <c r="C37" s="28" t="s">
        <v>23</v>
      </c>
      <c r="D37" s="28"/>
      <c r="E37" s="28"/>
      <c r="F37" s="28"/>
      <c r="G37" s="34" t="str">
        <f>IF(totalcases&gt;0,Start!V17/totalcases,"")</f>
        <v/>
      </c>
      <c r="H37" s="28"/>
      <c r="I37" s="254" t="s">
        <v>23</v>
      </c>
      <c r="J37" s="254"/>
      <c r="K37" s="254"/>
      <c r="L37" s="254"/>
      <c r="M37" s="363">
        <f t="shared" si="0"/>
        <v>0</v>
      </c>
      <c r="N37" s="364"/>
      <c r="O37" s="30"/>
      <c r="Q37" s="10"/>
      <c r="R37" s="9" t="s">
        <v>131</v>
      </c>
      <c r="S37" s="4"/>
      <c r="T37" s="62" t="s">
        <v>148</v>
      </c>
      <c r="U37" s="60"/>
      <c r="V37" s="61"/>
      <c r="W37" s="61"/>
      <c r="X37" s="61"/>
      <c r="Y37" s="61"/>
      <c r="Z37" s="61"/>
      <c r="AA37" s="61"/>
      <c r="AB37" s="67"/>
      <c r="AC37" s="40"/>
    </row>
    <row r="38" spans="2:29" x14ac:dyDescent="0.2">
      <c r="B38" s="26"/>
      <c r="C38" s="28" t="s">
        <v>37</v>
      </c>
      <c r="D38" s="28"/>
      <c r="E38" s="28"/>
      <c r="F38" s="28"/>
      <c r="G38" s="34" t="str">
        <f>IF(totalcases&gt;0,Start!V18/totalcases,"")</f>
        <v/>
      </c>
      <c r="H38" s="28"/>
      <c r="I38" s="254" t="s">
        <v>37</v>
      </c>
      <c r="J38" s="254"/>
      <c r="K38" s="254"/>
      <c r="L38" s="254"/>
      <c r="M38" s="363">
        <f t="shared" si="0"/>
        <v>0</v>
      </c>
      <c r="N38" s="364"/>
      <c r="O38" s="30"/>
      <c r="Q38" s="10"/>
      <c r="R38" s="43"/>
      <c r="S38" s="4"/>
      <c r="T38" s="289"/>
      <c r="U38" s="9"/>
      <c r="V38" s="9"/>
      <c r="W38" s="9"/>
      <c r="X38" s="9"/>
      <c r="Y38" s="9"/>
      <c r="Z38" s="9"/>
      <c r="AA38" s="9"/>
      <c r="AB38" s="9"/>
      <c r="AC38" s="39"/>
    </row>
    <row r="39" spans="2:29" x14ac:dyDescent="0.2">
      <c r="B39" s="26"/>
      <c r="C39" s="28" t="s">
        <v>25</v>
      </c>
      <c r="D39" s="28"/>
      <c r="E39" s="28"/>
      <c r="F39" s="28"/>
      <c r="G39" s="34" t="str">
        <f>IF(totalcases&gt;0,Start!V19/totalcases,"")</f>
        <v/>
      </c>
      <c r="H39" s="28"/>
      <c r="I39" s="254" t="s">
        <v>25</v>
      </c>
      <c r="J39" s="254"/>
      <c r="K39" s="254"/>
      <c r="L39" s="254"/>
      <c r="M39" s="363">
        <f t="shared" si="0"/>
        <v>0</v>
      </c>
      <c r="N39" s="364"/>
      <c r="O39" s="30"/>
      <c r="Q39" s="10"/>
      <c r="R39" s="43" t="s">
        <v>3</v>
      </c>
      <c r="S39" s="4"/>
      <c r="T39" s="290">
        <f>SUM(U39:AB39)</f>
        <v>0</v>
      </c>
      <c r="U39" s="41" t="str">
        <f t="shared" ref="U39:AB39" si="3">IF(AND(ISNUMBER(U$37),U$37&gt;0,ISNUMBER($G35)),IF(chkaverage=2,$G35*U$37,avg_crimasb*U$37),"")</f>
        <v/>
      </c>
      <c r="V39" s="41" t="str">
        <f t="shared" si="3"/>
        <v/>
      </c>
      <c r="W39" s="41" t="str">
        <f t="shared" si="3"/>
        <v/>
      </c>
      <c r="X39" s="41" t="str">
        <f t="shared" si="3"/>
        <v/>
      </c>
      <c r="Y39" s="41" t="str">
        <f t="shared" si="3"/>
        <v/>
      </c>
      <c r="Z39" s="41" t="str">
        <f t="shared" si="3"/>
        <v/>
      </c>
      <c r="AA39" s="41" t="str">
        <f t="shared" si="3"/>
        <v/>
      </c>
      <c r="AB39" s="41" t="str">
        <f t="shared" si="3"/>
        <v/>
      </c>
      <c r="AC39" s="5"/>
    </row>
    <row r="40" spans="2:29" x14ac:dyDescent="0.2">
      <c r="B40" s="26"/>
      <c r="C40" s="28" t="s">
        <v>56</v>
      </c>
      <c r="D40" s="28"/>
      <c r="E40" s="28"/>
      <c r="F40" s="28"/>
      <c r="G40" s="34" t="str">
        <f>IF(totalcases&gt;0,Start!V20/totalcases,"")</f>
        <v/>
      </c>
      <c r="H40" s="28"/>
      <c r="I40" s="254" t="s">
        <v>56</v>
      </c>
      <c r="J40" s="254"/>
      <c r="K40" s="254"/>
      <c r="L40" s="254"/>
      <c r="M40" s="363">
        <f t="shared" si="0"/>
        <v>0</v>
      </c>
      <c r="N40" s="364"/>
      <c r="O40" s="30"/>
      <c r="Q40" s="10"/>
      <c r="R40" s="43" t="s">
        <v>54</v>
      </c>
      <c r="S40" s="4"/>
      <c r="T40" s="290">
        <f t="shared" ref="T40:T56" si="4">SUM(U40:AB40)</f>
        <v>0</v>
      </c>
      <c r="U40" s="41" t="str">
        <f t="shared" ref="U40:AB40" si="5">IF(AND(ISNUMBER(U$37),U$37&gt;0,ISNUMBER($G36)),IF(chkaverage=2,$G36*U$37,avg_drug*U$37),"")</f>
        <v/>
      </c>
      <c r="V40" s="41" t="str">
        <f t="shared" si="5"/>
        <v/>
      </c>
      <c r="W40" s="41" t="str">
        <f t="shared" si="5"/>
        <v/>
      </c>
      <c r="X40" s="41" t="str">
        <f t="shared" si="5"/>
        <v/>
      </c>
      <c r="Y40" s="41" t="str">
        <f t="shared" si="5"/>
        <v/>
      </c>
      <c r="Z40" s="41" t="str">
        <f t="shared" si="5"/>
        <v/>
      </c>
      <c r="AA40" s="41" t="str">
        <f t="shared" si="5"/>
        <v/>
      </c>
      <c r="AB40" s="41" t="str">
        <f t="shared" si="5"/>
        <v/>
      </c>
      <c r="AC40" s="5"/>
    </row>
    <row r="41" spans="2:29" x14ac:dyDescent="0.2">
      <c r="B41" s="26"/>
      <c r="C41" s="28" t="s">
        <v>340</v>
      </c>
      <c r="D41" s="28"/>
      <c r="E41" s="28"/>
      <c r="F41" s="28"/>
      <c r="G41" s="34" t="str">
        <f>IF(totalcases&gt;0,Start!V21/totalcases,"")</f>
        <v/>
      </c>
      <c r="H41" s="28"/>
      <c r="I41" s="254" t="s">
        <v>340</v>
      </c>
      <c r="J41" s="254"/>
      <c r="K41" s="254"/>
      <c r="L41" s="254"/>
      <c r="M41" s="363">
        <f>IF(ISNUMBER(G41),$N$30*G41,0)</f>
        <v>0</v>
      </c>
      <c r="N41" s="364"/>
      <c r="O41" s="30"/>
      <c r="Q41" s="10"/>
      <c r="R41" s="43" t="s">
        <v>23</v>
      </c>
      <c r="S41" s="4"/>
      <c r="T41" s="290">
        <f t="shared" si="4"/>
        <v>0</v>
      </c>
      <c r="U41" s="41" t="str">
        <f t="shared" ref="U41:AB41" si="6">IF(AND(ISNUMBER(U$37),U$37&gt;0,ISNUMBER($G37)),IF(chkaverage=2,$G37*U$37,avg_education*U$37),"")</f>
        <v/>
      </c>
      <c r="V41" s="41" t="str">
        <f t="shared" si="6"/>
        <v/>
      </c>
      <c r="W41" s="41" t="str">
        <f t="shared" si="6"/>
        <v/>
      </c>
      <c r="X41" s="41" t="str">
        <f t="shared" si="6"/>
        <v/>
      </c>
      <c r="Y41" s="41" t="str">
        <f t="shared" si="6"/>
        <v/>
      </c>
      <c r="Z41" s="41" t="str">
        <f t="shared" si="6"/>
        <v/>
      </c>
      <c r="AA41" s="41" t="str">
        <f t="shared" si="6"/>
        <v/>
      </c>
      <c r="AB41" s="41" t="str">
        <f t="shared" si="6"/>
        <v/>
      </c>
      <c r="AC41" s="5"/>
    </row>
    <row r="42" spans="2:29" x14ac:dyDescent="0.2">
      <c r="B42" s="26"/>
      <c r="C42" s="28"/>
      <c r="D42" s="28"/>
      <c r="E42" s="28"/>
      <c r="F42" s="28"/>
      <c r="G42" s="28"/>
      <c r="H42" s="28"/>
      <c r="I42" s="254"/>
      <c r="J42" s="254"/>
      <c r="K42" s="254"/>
      <c r="L42" s="254"/>
      <c r="M42" s="254"/>
      <c r="N42" s="254"/>
      <c r="O42" s="30"/>
      <c r="Q42" s="10"/>
      <c r="R42" s="43" t="s">
        <v>37</v>
      </c>
      <c r="S42" s="4"/>
      <c r="T42" s="290">
        <f t="shared" si="4"/>
        <v>0</v>
      </c>
      <c r="U42" s="41" t="str">
        <f t="shared" ref="U42:AB42" si="7">IF(AND(ISNUMBER(U$37),U$37&gt;0,ISNUMBER($G38)),IF(chkaverage=2,$G38*U$37,avg_healthcare*U$37),"")</f>
        <v/>
      </c>
      <c r="V42" s="41" t="str">
        <f t="shared" si="7"/>
        <v/>
      </c>
      <c r="W42" s="41" t="str">
        <f t="shared" si="7"/>
        <v/>
      </c>
      <c r="X42" s="41" t="str">
        <f t="shared" si="7"/>
        <v/>
      </c>
      <c r="Y42" s="41" t="str">
        <f t="shared" si="7"/>
        <v/>
      </c>
      <c r="Z42" s="41" t="str">
        <f t="shared" si="7"/>
        <v/>
      </c>
      <c r="AA42" s="41" t="str">
        <f t="shared" si="7"/>
        <v/>
      </c>
      <c r="AB42" s="41" t="str">
        <f t="shared" si="7"/>
        <v/>
      </c>
      <c r="AC42" s="5"/>
    </row>
    <row r="43" spans="2:29" x14ac:dyDescent="0.2">
      <c r="B43" s="26"/>
      <c r="C43" s="48" t="s">
        <v>127</v>
      </c>
      <c r="D43" s="28"/>
      <c r="E43" s="28"/>
      <c r="F43" s="28"/>
      <c r="G43" s="28"/>
      <c r="H43" s="28"/>
      <c r="I43" s="254"/>
      <c r="J43" s="254"/>
      <c r="K43" s="254"/>
      <c r="L43" s="254"/>
      <c r="M43" s="254"/>
      <c r="N43" s="254"/>
      <c r="O43" s="30"/>
      <c r="Q43" s="10"/>
      <c r="R43" s="43" t="s">
        <v>25</v>
      </c>
      <c r="S43" s="4"/>
      <c r="T43" s="290">
        <f t="shared" si="4"/>
        <v>0</v>
      </c>
      <c r="U43" s="41" t="str">
        <f t="shared" ref="U43:AB43" si="8">IF(AND(ISNUMBER(U$37),U$37&gt;0,ISNUMBER($G39)),IF(chkaverage=2,$G39*U$37,avg_housing*U$37),"")</f>
        <v/>
      </c>
      <c r="V43" s="41" t="str">
        <f t="shared" si="8"/>
        <v/>
      </c>
      <c r="W43" s="41" t="str">
        <f t="shared" si="8"/>
        <v/>
      </c>
      <c r="X43" s="41" t="str">
        <f t="shared" si="8"/>
        <v/>
      </c>
      <c r="Y43" s="41" t="str">
        <f t="shared" si="8"/>
        <v/>
      </c>
      <c r="Z43" s="41" t="str">
        <f t="shared" si="8"/>
        <v/>
      </c>
      <c r="AA43" s="41" t="str">
        <f t="shared" si="8"/>
        <v/>
      </c>
      <c r="AB43" s="41" t="str">
        <f t="shared" si="8"/>
        <v/>
      </c>
      <c r="AC43" s="5"/>
    </row>
    <row r="44" spans="2:29" x14ac:dyDescent="0.2">
      <c r="B44" s="26"/>
      <c r="C44" s="76"/>
      <c r="D44" s="76"/>
      <c r="E44" s="76"/>
      <c r="F44" s="76"/>
      <c r="G44" s="76"/>
      <c r="H44" s="28"/>
      <c r="I44" s="254"/>
      <c r="J44" s="254"/>
      <c r="K44" s="254"/>
      <c r="L44" s="254"/>
      <c r="M44" s="254"/>
      <c r="N44" s="254"/>
      <c r="O44" s="30"/>
      <c r="Q44" s="10"/>
      <c r="R44" s="43" t="s">
        <v>56</v>
      </c>
      <c r="S44" s="4"/>
      <c r="T44" s="290">
        <f t="shared" si="4"/>
        <v>0</v>
      </c>
      <c r="U44" s="41" t="str">
        <f t="shared" ref="U44:AB44" si="9">IF(AND(ISNUMBER(U$37),U$37&gt;0,ISNUMBER($G40)),IF(chkaverage=2,$G40*U$37,avg_socialcare*U$37),"")</f>
        <v/>
      </c>
      <c r="V44" s="41" t="str">
        <f t="shared" si="9"/>
        <v/>
      </c>
      <c r="W44" s="41" t="str">
        <f t="shared" si="9"/>
        <v/>
      </c>
      <c r="X44" s="41" t="str">
        <f t="shared" si="9"/>
        <v/>
      </c>
      <c r="Y44" s="41" t="str">
        <f t="shared" si="9"/>
        <v/>
      </c>
      <c r="Z44" s="41" t="str">
        <f t="shared" si="9"/>
        <v/>
      </c>
      <c r="AA44" s="41" t="str">
        <f t="shared" si="9"/>
        <v/>
      </c>
      <c r="AB44" s="41" t="str">
        <f t="shared" si="9"/>
        <v/>
      </c>
      <c r="AC44" s="5"/>
    </row>
    <row r="45" spans="2:29" x14ac:dyDescent="0.2">
      <c r="B45" s="26"/>
      <c r="C45" s="28" t="s">
        <v>9</v>
      </c>
      <c r="D45" s="28"/>
      <c r="E45" s="28"/>
      <c r="F45" s="28"/>
      <c r="G45" s="35" t="str">
        <f>IF(totalcases&gt;0,Start!V24/totalcases,"")</f>
        <v/>
      </c>
      <c r="H45" s="28"/>
      <c r="I45" s="254" t="s">
        <v>9</v>
      </c>
      <c r="J45" s="254"/>
      <c r="K45" s="254"/>
      <c r="L45" s="254"/>
      <c r="M45" s="363">
        <f>IF(ISNUMBER(G45),$N$30*G45,0)</f>
        <v>0</v>
      </c>
      <c r="N45" s="364"/>
      <c r="O45" s="30"/>
      <c r="Q45" s="10"/>
      <c r="R45" s="43" t="s">
        <v>340</v>
      </c>
      <c r="S45" s="4"/>
      <c r="T45" s="290">
        <f t="shared" si="4"/>
        <v>0</v>
      </c>
      <c r="U45" s="41" t="str">
        <f t="shared" ref="U45:AB45" si="10">IF(AND(ISNUMBER(U$37),U$37&gt;0,ISNUMBER($G41)),IF(chkaverage=2,$G41*U$37,avg_domesticviolence*U$37),"")</f>
        <v/>
      </c>
      <c r="V45" s="41" t="str">
        <f t="shared" si="10"/>
        <v/>
      </c>
      <c r="W45" s="41" t="str">
        <f t="shared" si="10"/>
        <v/>
      </c>
      <c r="X45" s="41" t="str">
        <f t="shared" si="10"/>
        <v/>
      </c>
      <c r="Y45" s="41" t="str">
        <f t="shared" si="10"/>
        <v/>
      </c>
      <c r="Z45" s="41" t="str">
        <f t="shared" si="10"/>
        <v/>
      </c>
      <c r="AA45" s="41" t="str">
        <f t="shared" si="10"/>
        <v/>
      </c>
      <c r="AB45" s="41" t="str">
        <f t="shared" si="10"/>
        <v/>
      </c>
      <c r="AC45" s="5"/>
    </row>
    <row r="46" spans="2:29" x14ac:dyDescent="0.2">
      <c r="B46" s="26"/>
      <c r="C46" s="28" t="s">
        <v>21</v>
      </c>
      <c r="D46" s="28"/>
      <c r="E46" s="28"/>
      <c r="F46" s="28"/>
      <c r="G46" s="35" t="str">
        <f>IF(totalcases&gt;0,Start!V25/totalcases,"")</f>
        <v/>
      </c>
      <c r="H46" s="28"/>
      <c r="I46" s="254" t="s">
        <v>21</v>
      </c>
      <c r="J46" s="254"/>
      <c r="K46" s="254"/>
      <c r="L46" s="254"/>
      <c r="M46" s="363">
        <f t="shared" ref="M46:M54" si="11">IF(ISNUMBER(G46),$N$30*G46,0)</f>
        <v>0</v>
      </c>
      <c r="N46" s="364"/>
      <c r="O46" s="30"/>
      <c r="Q46" s="10"/>
      <c r="R46" s="43"/>
      <c r="S46" s="4"/>
      <c r="T46" s="291"/>
      <c r="U46" s="4"/>
      <c r="V46" s="4"/>
      <c r="W46" s="4"/>
      <c r="X46" s="4"/>
      <c r="Y46" s="4"/>
      <c r="Z46" s="4"/>
      <c r="AA46" s="4"/>
      <c r="AB46" s="4"/>
      <c r="AC46" s="5"/>
    </row>
    <row r="47" spans="2:29" x14ac:dyDescent="0.2">
      <c r="B47" s="26"/>
      <c r="C47" s="28" t="s">
        <v>39</v>
      </c>
      <c r="D47" s="28"/>
      <c r="E47" s="28"/>
      <c r="F47" s="28"/>
      <c r="G47" s="35" t="str">
        <f>IF(totalcases&gt;0,Start!V26/totalcases,"")</f>
        <v/>
      </c>
      <c r="H47" s="28"/>
      <c r="I47" s="254" t="s">
        <v>39</v>
      </c>
      <c r="J47" s="254"/>
      <c r="K47" s="254"/>
      <c r="L47" s="254"/>
      <c r="M47" s="363">
        <f t="shared" si="11"/>
        <v>0</v>
      </c>
      <c r="N47" s="364"/>
      <c r="O47" s="30"/>
      <c r="Q47" s="10"/>
      <c r="R47" s="43" t="s">
        <v>9</v>
      </c>
      <c r="S47" s="4"/>
      <c r="T47" s="290">
        <f t="shared" si="4"/>
        <v>0</v>
      </c>
      <c r="U47" s="41" t="str">
        <f t="shared" ref="U47:AB47" si="12">IF(AND(ISNUMBER(U$37),U$37&gt;0,ISNUMBER($G45)),IF(chkaverage=2,$G45*U$37,avg_commsec*U$37),"")</f>
        <v/>
      </c>
      <c r="V47" s="41" t="str">
        <f t="shared" si="12"/>
        <v/>
      </c>
      <c r="W47" s="41" t="str">
        <f t="shared" si="12"/>
        <v/>
      </c>
      <c r="X47" s="41" t="str">
        <f t="shared" si="12"/>
        <v/>
      </c>
      <c r="Y47" s="41" t="str">
        <f t="shared" si="12"/>
        <v/>
      </c>
      <c r="Z47" s="41" t="str">
        <f t="shared" si="12"/>
        <v/>
      </c>
      <c r="AA47" s="41" t="str">
        <f t="shared" si="12"/>
        <v/>
      </c>
      <c r="AB47" s="41" t="str">
        <f t="shared" si="12"/>
        <v/>
      </c>
      <c r="AC47" s="5"/>
    </row>
    <row r="48" spans="2:29" x14ac:dyDescent="0.2">
      <c r="B48" s="26"/>
      <c r="C48" s="28" t="s">
        <v>7</v>
      </c>
      <c r="D48" s="28"/>
      <c r="E48" s="28"/>
      <c r="F48" s="28"/>
      <c r="G48" s="35" t="str">
        <f>IF(totalcases&gt;0,Start!V27/totalcases,"")</f>
        <v/>
      </c>
      <c r="H48" s="28"/>
      <c r="I48" s="254" t="s">
        <v>7</v>
      </c>
      <c r="J48" s="254"/>
      <c r="K48" s="254"/>
      <c r="L48" s="254"/>
      <c r="M48" s="363">
        <f t="shared" si="11"/>
        <v>0</v>
      </c>
      <c r="N48" s="364"/>
      <c r="O48" s="30"/>
      <c r="Q48" s="10"/>
      <c r="R48" s="43" t="s">
        <v>21</v>
      </c>
      <c r="S48" s="4"/>
      <c r="T48" s="290">
        <f t="shared" si="4"/>
        <v>0</v>
      </c>
      <c r="U48" s="41" t="str">
        <f t="shared" ref="U48:AB48" si="13">IF(AND(ISNUMBER(U$37),U$37&gt;0,ISNUMBER($G46)),IF(chkaverage=2,$G46*U$37,avg_criminal*U$37),"")</f>
        <v/>
      </c>
      <c r="V48" s="41" t="str">
        <f t="shared" si="13"/>
        <v/>
      </c>
      <c r="W48" s="41" t="str">
        <f t="shared" si="13"/>
        <v/>
      </c>
      <c r="X48" s="41" t="str">
        <f t="shared" si="13"/>
        <v/>
      </c>
      <c r="Y48" s="41" t="str">
        <f t="shared" si="13"/>
        <v/>
      </c>
      <c r="Z48" s="41" t="str">
        <f t="shared" si="13"/>
        <v/>
      </c>
      <c r="AA48" s="41" t="str">
        <f t="shared" si="13"/>
        <v/>
      </c>
      <c r="AB48" s="41" t="str">
        <f t="shared" si="13"/>
        <v/>
      </c>
      <c r="AC48" s="5"/>
    </row>
    <row r="49" spans="2:29" x14ac:dyDescent="0.2">
      <c r="B49" s="26"/>
      <c r="C49" s="28" t="s">
        <v>5</v>
      </c>
      <c r="D49" s="28"/>
      <c r="E49" s="28"/>
      <c r="F49" s="28"/>
      <c r="G49" s="35" t="str">
        <f>IF(totalcases&gt;0,Start!V28/totalcases,"")</f>
        <v/>
      </c>
      <c r="H49" s="28"/>
      <c r="I49" s="254" t="s">
        <v>5</v>
      </c>
      <c r="J49" s="254"/>
      <c r="K49" s="254"/>
      <c r="L49" s="254"/>
      <c r="M49" s="363">
        <f t="shared" si="11"/>
        <v>0</v>
      </c>
      <c r="N49" s="364"/>
      <c r="O49" s="30"/>
      <c r="Q49" s="10"/>
      <c r="R49" s="43" t="s">
        <v>39</v>
      </c>
      <c r="S49" s="4"/>
      <c r="T49" s="290">
        <f t="shared" si="4"/>
        <v>0</v>
      </c>
      <c r="U49" s="41" t="str">
        <f t="shared" ref="U49:AB49" si="14">IF(AND(ISNUMBER(U$37),U$37&gt;0,ISNUMBER($G47)),IF(chkaverage=2,$G47*U$37,avg_healthservice*U$37),"")</f>
        <v/>
      </c>
      <c r="V49" s="41" t="str">
        <f t="shared" si="14"/>
        <v/>
      </c>
      <c r="W49" s="41" t="str">
        <f t="shared" si="14"/>
        <v/>
      </c>
      <c r="X49" s="41" t="str">
        <f t="shared" si="14"/>
        <v/>
      </c>
      <c r="Y49" s="41" t="str">
        <f t="shared" si="14"/>
        <v/>
      </c>
      <c r="Z49" s="41" t="str">
        <f t="shared" si="14"/>
        <v/>
      </c>
      <c r="AA49" s="41" t="str">
        <f t="shared" si="14"/>
        <v/>
      </c>
      <c r="AB49" s="41" t="str">
        <f t="shared" si="14"/>
        <v/>
      </c>
      <c r="AC49" s="5"/>
    </row>
    <row r="50" spans="2:29" x14ac:dyDescent="0.2">
      <c r="B50" s="26"/>
      <c r="C50" s="28" t="s">
        <v>12</v>
      </c>
      <c r="D50" s="28"/>
      <c r="E50" s="28"/>
      <c r="F50" s="28"/>
      <c r="G50" s="35" t="str">
        <f>IF(totalcases&gt;0,Start!V29/totalcases,"")</f>
        <v/>
      </c>
      <c r="H50" s="28"/>
      <c r="I50" s="254" t="s">
        <v>12</v>
      </c>
      <c r="J50" s="254"/>
      <c r="K50" s="254"/>
      <c r="L50" s="254"/>
      <c r="M50" s="363">
        <f t="shared" si="11"/>
        <v>0</v>
      </c>
      <c r="N50" s="364"/>
      <c r="O50" s="30"/>
      <c r="Q50" s="10"/>
      <c r="R50" s="43" t="s">
        <v>7</v>
      </c>
      <c r="S50" s="4"/>
      <c r="T50" s="290">
        <f t="shared" si="4"/>
        <v>0</v>
      </c>
      <c r="U50" s="41" t="str">
        <f t="shared" ref="U50:AB50" si="15">IF(AND(ISNUMBER(U$37),U$37&gt;0,ISNUMBER($G48)),IF(chkaverage=2,$G48*U$37,avg_la*U$37),"")</f>
        <v/>
      </c>
      <c r="V50" s="41" t="str">
        <f t="shared" si="15"/>
        <v/>
      </c>
      <c r="W50" s="41" t="str">
        <f t="shared" si="15"/>
        <v/>
      </c>
      <c r="X50" s="41" t="str">
        <f t="shared" si="15"/>
        <v/>
      </c>
      <c r="Y50" s="41" t="str">
        <f t="shared" si="15"/>
        <v/>
      </c>
      <c r="Z50" s="41" t="str">
        <f t="shared" si="15"/>
        <v/>
      </c>
      <c r="AA50" s="41" t="str">
        <f t="shared" si="15"/>
        <v/>
      </c>
      <c r="AB50" s="41" t="str">
        <f t="shared" si="15"/>
        <v/>
      </c>
      <c r="AC50" s="5"/>
    </row>
    <row r="51" spans="2:29" x14ac:dyDescent="0.2">
      <c r="B51" s="26"/>
      <c r="C51" s="28" t="s">
        <v>58</v>
      </c>
      <c r="D51" s="28"/>
      <c r="E51" s="28"/>
      <c r="F51" s="28"/>
      <c r="G51" s="35" t="str">
        <f>IF(totalcases&gt;0,Start!V30/totalcases,"")</f>
        <v/>
      </c>
      <c r="H51" s="28"/>
      <c r="I51" s="254" t="s">
        <v>58</v>
      </c>
      <c r="J51" s="254"/>
      <c r="K51" s="254"/>
      <c r="L51" s="254"/>
      <c r="M51" s="363">
        <f t="shared" si="11"/>
        <v>0</v>
      </c>
      <c r="N51" s="364"/>
      <c r="O51" s="30"/>
      <c r="Q51" s="10"/>
      <c r="R51" s="43" t="s">
        <v>5</v>
      </c>
      <c r="S51" s="4"/>
      <c r="T51" s="290">
        <f t="shared" si="4"/>
        <v>0</v>
      </c>
      <c r="U51" s="41" t="str">
        <f t="shared" ref="U51:AB51" si="16">IF(AND(ISNUMBER(U$37),U$37&gt;0,ISNUMBER($G49)),IF(chkaverage=2,$G49*U$37,avg_police*U$37),"")</f>
        <v/>
      </c>
      <c r="V51" s="41" t="str">
        <f t="shared" si="16"/>
        <v/>
      </c>
      <c r="W51" s="41" t="str">
        <f t="shared" si="16"/>
        <v/>
      </c>
      <c r="X51" s="41" t="str">
        <f t="shared" si="16"/>
        <v/>
      </c>
      <c r="Y51" s="41" t="str">
        <f t="shared" si="16"/>
        <v/>
      </c>
      <c r="Z51" s="41" t="str">
        <f t="shared" si="16"/>
        <v/>
      </c>
      <c r="AA51" s="41" t="str">
        <f t="shared" si="16"/>
        <v/>
      </c>
      <c r="AB51" s="41" t="str">
        <f t="shared" si="16"/>
        <v/>
      </c>
      <c r="AC51" s="5"/>
    </row>
    <row r="52" spans="2:29" x14ac:dyDescent="0.2">
      <c r="B52" s="26"/>
      <c r="C52" s="28" t="s">
        <v>24</v>
      </c>
      <c r="D52" s="28"/>
      <c r="E52" s="28"/>
      <c r="F52" s="28"/>
      <c r="G52" s="35" t="str">
        <f>IF(totalcases&gt;0,Start!V31/totalcases,"")</f>
        <v/>
      </c>
      <c r="H52" s="28"/>
      <c r="I52" s="254" t="s">
        <v>24</v>
      </c>
      <c r="J52" s="254"/>
      <c r="K52" s="254"/>
      <c r="L52" s="254"/>
      <c r="M52" s="363">
        <f t="shared" si="11"/>
        <v>0</v>
      </c>
      <c r="N52" s="364"/>
      <c r="O52" s="30"/>
      <c r="Q52" s="10"/>
      <c r="R52" s="43" t="s">
        <v>12</v>
      </c>
      <c r="S52" s="4"/>
      <c r="T52" s="290">
        <f t="shared" si="4"/>
        <v>0</v>
      </c>
      <c r="U52" s="41" t="str">
        <f t="shared" ref="U52:AB52" si="17">IF(AND(ISNUMBER(U$37),U$37&gt;0,ISNUMBER($G50)),IF(chkaverage=2,$G50*U$37,avg_privatesec*U$37),"")</f>
        <v/>
      </c>
      <c r="V52" s="41" t="str">
        <f t="shared" si="17"/>
        <v/>
      </c>
      <c r="W52" s="41" t="str">
        <f t="shared" si="17"/>
        <v/>
      </c>
      <c r="X52" s="41" t="str">
        <f t="shared" si="17"/>
        <v/>
      </c>
      <c r="Y52" s="41" t="str">
        <f t="shared" si="17"/>
        <v/>
      </c>
      <c r="Z52" s="41" t="str">
        <f t="shared" si="17"/>
        <v/>
      </c>
      <c r="AA52" s="41" t="str">
        <f t="shared" si="17"/>
        <v/>
      </c>
      <c r="AB52" s="41" t="str">
        <f t="shared" si="17"/>
        <v/>
      </c>
      <c r="AC52" s="5"/>
    </row>
    <row r="53" spans="2:29" x14ac:dyDescent="0.2">
      <c r="B53" s="26"/>
      <c r="C53" s="28" t="s">
        <v>13</v>
      </c>
      <c r="D53" s="28"/>
      <c r="E53" s="28"/>
      <c r="F53" s="28"/>
      <c r="G53" s="35" t="str">
        <f>IF(totalcases&gt;0,Start!V32/totalcases,"")</f>
        <v/>
      </c>
      <c r="H53" s="28"/>
      <c r="I53" s="254" t="s">
        <v>13</v>
      </c>
      <c r="J53" s="254"/>
      <c r="K53" s="254"/>
      <c r="L53" s="254"/>
      <c r="M53" s="363">
        <f t="shared" si="11"/>
        <v>0</v>
      </c>
      <c r="N53" s="364"/>
      <c r="O53" s="30"/>
      <c r="Q53" s="10"/>
      <c r="R53" s="43" t="s">
        <v>58</v>
      </c>
      <c r="S53" s="4"/>
      <c r="T53" s="290">
        <f t="shared" si="4"/>
        <v>0</v>
      </c>
      <c r="U53" s="41" t="str">
        <f t="shared" ref="U53:AB53" si="18">IF(AND(ISNUMBER(U$37),U$37&gt;0,ISNUMBER($G51)),IF(chkaverage=2,$G51*U$37,avg_socialservices*U$37),"")</f>
        <v/>
      </c>
      <c r="V53" s="41" t="str">
        <f t="shared" si="18"/>
        <v/>
      </c>
      <c r="W53" s="41" t="str">
        <f t="shared" si="18"/>
        <v/>
      </c>
      <c r="X53" s="41" t="str">
        <f t="shared" si="18"/>
        <v/>
      </c>
      <c r="Y53" s="41" t="str">
        <f t="shared" si="18"/>
        <v/>
      </c>
      <c r="Z53" s="41" t="str">
        <f t="shared" si="18"/>
        <v/>
      </c>
      <c r="AA53" s="41" t="str">
        <f t="shared" si="18"/>
        <v/>
      </c>
      <c r="AB53" s="41" t="str">
        <f t="shared" si="18"/>
        <v/>
      </c>
      <c r="AC53" s="5"/>
    </row>
    <row r="54" spans="2:29" x14ac:dyDescent="0.2">
      <c r="B54" s="26"/>
      <c r="C54" s="28" t="s">
        <v>14</v>
      </c>
      <c r="D54" s="28"/>
      <c r="E54" s="28"/>
      <c r="F54" s="28"/>
      <c r="G54" s="35" t="str">
        <f>IF(totalcases&gt;0,Start!V33/totalcases,"")</f>
        <v/>
      </c>
      <c r="H54" s="28"/>
      <c r="I54" s="254" t="s">
        <v>14</v>
      </c>
      <c r="J54" s="254"/>
      <c r="K54" s="254"/>
      <c r="L54" s="254"/>
      <c r="M54" s="363">
        <f t="shared" si="11"/>
        <v>0</v>
      </c>
      <c r="N54" s="364"/>
      <c r="O54" s="30"/>
      <c r="Q54" s="10"/>
      <c r="R54" s="43" t="s">
        <v>24</v>
      </c>
      <c r="S54" s="4"/>
      <c r="T54" s="290">
        <f t="shared" si="4"/>
        <v>0</v>
      </c>
      <c r="U54" s="41" t="str">
        <f t="shared" ref="U54:AB54" si="19">IF(AND(ISNUMBER(U$37),U$37&gt;0,ISNUMBER($G52)),IF(chkaverage=2,$G52*U$37,avg_society*U$37),"")</f>
        <v/>
      </c>
      <c r="V54" s="41" t="str">
        <f t="shared" si="19"/>
        <v/>
      </c>
      <c r="W54" s="41" t="str">
        <f t="shared" si="19"/>
        <v/>
      </c>
      <c r="X54" s="41" t="str">
        <f t="shared" si="19"/>
        <v/>
      </c>
      <c r="Y54" s="41" t="str">
        <f t="shared" si="19"/>
        <v/>
      </c>
      <c r="Z54" s="41" t="str">
        <f t="shared" si="19"/>
        <v/>
      </c>
      <c r="AA54" s="41" t="str">
        <f t="shared" si="19"/>
        <v/>
      </c>
      <c r="AB54" s="41" t="str">
        <f t="shared" si="19"/>
        <v/>
      </c>
      <c r="AC54" s="5"/>
    </row>
    <row r="55" spans="2:29" x14ac:dyDescent="0.2">
      <c r="B55" s="26"/>
      <c r="C55" s="28"/>
      <c r="D55" s="28"/>
      <c r="E55" s="28"/>
      <c r="F55" s="28"/>
      <c r="G55" s="35"/>
      <c r="H55" s="28"/>
      <c r="I55" s="254"/>
      <c r="J55" s="254"/>
      <c r="K55" s="254"/>
      <c r="L55" s="254"/>
      <c r="M55" s="256"/>
      <c r="N55" s="256"/>
      <c r="O55" s="30"/>
      <c r="Q55" s="10"/>
      <c r="R55" s="43" t="s">
        <v>13</v>
      </c>
      <c r="S55" s="4"/>
      <c r="T55" s="290">
        <f t="shared" si="4"/>
        <v>0</v>
      </c>
      <c r="U55" s="41" t="str">
        <f t="shared" ref="U55:AB55" si="20">IF(AND(ISNUMBER(U$37),U$37&gt;0,ISNUMBER($G53)),IF(chkaverage=2,$G53*U$37,avg_various*U$37),"")</f>
        <v/>
      </c>
      <c r="V55" s="41" t="str">
        <f t="shared" si="20"/>
        <v/>
      </c>
      <c r="W55" s="41" t="str">
        <f t="shared" si="20"/>
        <v/>
      </c>
      <c r="X55" s="41" t="str">
        <f t="shared" si="20"/>
        <v/>
      </c>
      <c r="Y55" s="41" t="str">
        <f t="shared" si="20"/>
        <v/>
      </c>
      <c r="Z55" s="41" t="str">
        <f t="shared" si="20"/>
        <v/>
      </c>
      <c r="AA55" s="41" t="str">
        <f t="shared" si="20"/>
        <v/>
      </c>
      <c r="AB55" s="41" t="str">
        <f t="shared" si="20"/>
        <v/>
      </c>
      <c r="AC55" s="5"/>
    </row>
    <row r="56" spans="2:29" ht="11.25" customHeight="1" x14ac:dyDescent="0.2">
      <c r="B56" s="26"/>
      <c r="C56" s="28"/>
      <c r="D56" s="28"/>
      <c r="E56" s="28"/>
      <c r="F56" s="28"/>
      <c r="G56" s="35"/>
      <c r="H56" s="28"/>
      <c r="I56" s="257" t="s">
        <v>141</v>
      </c>
      <c r="J56" s="258"/>
      <c r="K56" s="258"/>
      <c r="L56" s="258"/>
      <c r="M56" s="365">
        <f>SUM(M45:N54)</f>
        <v>0</v>
      </c>
      <c r="N56" s="366"/>
      <c r="O56" s="30"/>
      <c r="Q56" s="10"/>
      <c r="R56" s="43" t="s">
        <v>14</v>
      </c>
      <c r="S56" s="4"/>
      <c r="T56" s="290">
        <f t="shared" si="4"/>
        <v>0</v>
      </c>
      <c r="U56" s="41" t="str">
        <f t="shared" ref="U56:AB56" si="21">IF(AND(ISNUMBER(U$37),U$37&gt;0,ISNUMBER($G54)),IF(chkaverage=2,$G54*U$37,avg_yot*U$37),"")</f>
        <v/>
      </c>
      <c r="V56" s="41" t="str">
        <f t="shared" si="21"/>
        <v/>
      </c>
      <c r="W56" s="41" t="str">
        <f t="shared" si="21"/>
        <v/>
      </c>
      <c r="X56" s="41" t="str">
        <f t="shared" si="21"/>
        <v/>
      </c>
      <c r="Y56" s="41" t="str">
        <f t="shared" si="21"/>
        <v/>
      </c>
      <c r="Z56" s="41" t="str">
        <f t="shared" si="21"/>
        <v/>
      </c>
      <c r="AA56" s="41" t="str">
        <f t="shared" si="21"/>
        <v/>
      </c>
      <c r="AB56" s="41" t="str">
        <f t="shared" si="21"/>
        <v/>
      </c>
      <c r="AC56" s="5"/>
    </row>
    <row r="57" spans="2:29" ht="13.5" thickBot="1" x14ac:dyDescent="0.25">
      <c r="B57" s="26"/>
      <c r="C57" s="28"/>
      <c r="D57" s="28"/>
      <c r="E57" s="28"/>
      <c r="F57" s="28"/>
      <c r="G57" s="28"/>
      <c r="H57" s="28"/>
      <c r="I57" s="259" t="s">
        <v>142</v>
      </c>
      <c r="J57" s="259"/>
      <c r="K57" s="259"/>
      <c r="L57" s="259"/>
      <c r="M57" s="260"/>
      <c r="N57" s="260"/>
      <c r="O57" s="30"/>
      <c r="Q57" s="10"/>
      <c r="R57" s="43"/>
      <c r="S57" s="4"/>
      <c r="T57" s="292"/>
      <c r="U57" s="41"/>
      <c r="V57" s="41"/>
      <c r="W57" s="4"/>
      <c r="X57" s="4"/>
      <c r="Y57" s="4"/>
      <c r="Z57" s="4"/>
      <c r="AA57" s="4"/>
      <c r="AB57" s="4"/>
      <c r="AC57" s="5"/>
    </row>
    <row r="58" spans="2:29" ht="13.5" thickBot="1" x14ac:dyDescent="0.25">
      <c r="B58" s="26"/>
      <c r="C58" s="28"/>
      <c r="D58" s="28"/>
      <c r="E58" s="28"/>
      <c r="F58" s="28"/>
      <c r="G58" s="28"/>
      <c r="H58" s="28"/>
      <c r="I58" s="255"/>
      <c r="J58" s="255"/>
      <c r="K58" s="255"/>
      <c r="L58" s="255"/>
      <c r="M58" s="28"/>
      <c r="N58" s="28"/>
      <c r="O58" s="30"/>
      <c r="Q58" s="10"/>
      <c r="R58" s="44" t="s">
        <v>111</v>
      </c>
      <c r="S58" s="45"/>
      <c r="T58" s="293">
        <f>SUM(T47:T56)</f>
        <v>0</v>
      </c>
      <c r="U58" s="46" t="str">
        <f t="shared" ref="U58:AB58" si="22">IF(AND(ISNUMBER(U37),U37&gt;0),SUM(U47:U56),"")</f>
        <v/>
      </c>
      <c r="V58" s="46" t="str">
        <f t="shared" si="22"/>
        <v/>
      </c>
      <c r="W58" s="46" t="str">
        <f t="shared" si="22"/>
        <v/>
      </c>
      <c r="X58" s="46" t="str">
        <f t="shared" si="22"/>
        <v/>
      </c>
      <c r="Y58" s="46" t="str">
        <f t="shared" si="22"/>
        <v/>
      </c>
      <c r="Z58" s="46" t="str">
        <f t="shared" si="22"/>
        <v/>
      </c>
      <c r="AA58" s="46" t="str">
        <f t="shared" si="22"/>
        <v/>
      </c>
      <c r="AB58" s="46" t="str">
        <f t="shared" si="22"/>
        <v/>
      </c>
      <c r="AC58" s="5"/>
    </row>
    <row r="59" spans="2:29" x14ac:dyDescent="0.2">
      <c r="B59" s="36"/>
      <c r="C59" s="37"/>
      <c r="D59" s="37"/>
      <c r="E59" s="37"/>
      <c r="F59" s="37"/>
      <c r="G59" s="37"/>
      <c r="H59" s="37"/>
      <c r="I59" s="37"/>
      <c r="J59" s="37"/>
      <c r="K59" s="37"/>
      <c r="L59" s="37"/>
      <c r="M59" s="37"/>
      <c r="N59" s="37"/>
      <c r="O59" s="38"/>
      <c r="Q59" s="6"/>
      <c r="R59" s="7"/>
      <c r="S59" s="7"/>
      <c r="T59" s="7"/>
      <c r="U59" s="7"/>
      <c r="V59" s="7"/>
      <c r="W59" s="7"/>
      <c r="X59" s="7"/>
      <c r="Y59" s="7"/>
      <c r="Z59" s="7"/>
      <c r="AA59" s="7"/>
      <c r="AB59" s="7"/>
      <c r="AC59" s="8"/>
    </row>
  </sheetData>
  <sheetProtection password="D78B" sheet="1" scenarios="1"/>
  <mergeCells count="18">
    <mergeCell ref="M40:N40"/>
    <mergeCell ref="M45:N45"/>
    <mergeCell ref="M46:N46"/>
    <mergeCell ref="M47:N47"/>
    <mergeCell ref="M52:N52"/>
    <mergeCell ref="M48:N48"/>
    <mergeCell ref="M35:N35"/>
    <mergeCell ref="M36:N36"/>
    <mergeCell ref="M37:N37"/>
    <mergeCell ref="M38:N38"/>
    <mergeCell ref="M39:N39"/>
    <mergeCell ref="M49:N49"/>
    <mergeCell ref="M50:N50"/>
    <mergeCell ref="M51:N51"/>
    <mergeCell ref="M41:N41"/>
    <mergeCell ref="M56:N56"/>
    <mergeCell ref="M53:N53"/>
    <mergeCell ref="M54:N54"/>
  </mergeCells>
  <phoneticPr fontId="4" type="noConversion"/>
  <conditionalFormatting sqref="G45:G54 M45:N54 M35:N41 G35:G41">
    <cfRule type="cellIs" dxfId="4" priority="1" stopIfTrue="1" operator="lessThan">
      <formula>0</formula>
    </cfRule>
  </conditionalFormatting>
  <dataValidations count="4">
    <dataValidation type="whole" allowBlank="1" showInputMessage="1" showErrorMessage="1" sqref="S32">
      <formula1>2000</formula1>
      <formula2>2020</formula2>
    </dataValidation>
    <dataValidation type="whole" operator="greaterThanOrEqual" allowBlank="1" showInputMessage="1" showErrorMessage="1" error="Please enter a whole number greater than 0." sqref="N30">
      <formula1>0</formula1>
    </dataValidation>
    <dataValidation type="whole" allowBlank="1" showInputMessage="1" showErrorMessage="1" error="Please enter a whole number between 0 and 1000." sqref="U37:AB37">
      <formula1>0</formula1>
      <formula2>1000</formula2>
    </dataValidation>
    <dataValidation type="whole" allowBlank="1" showInputMessage="1" showErrorMessage="1" error="Number must be between 0 and 8." sqref="S33">
      <formula1>0</formula1>
      <formula2>8</formula2>
    </dataValidation>
  </dataValidations>
  <pageMargins left="0.75" right="0.75" top="1" bottom="1" header="0.5" footer="0.5"/>
  <pageSetup paperSize="9" orientation="portrait" r:id="rId1"/>
  <headerFooter alignWithMargins="0"/>
  <drawing r:id="rId2"/>
  <legacyDrawing r:id="rId3"/>
  <controls>
    <mc:AlternateContent xmlns:mc="http://schemas.openxmlformats.org/markup-compatibility/2006">
      <mc:Choice Requires="x14">
        <control shapeId="82970" r:id="rId4" name="btnhome3">
          <controlPr autoLine="0" r:id="rId5">
            <anchor moveWithCells="1">
              <from>
                <xdr:col>2</xdr:col>
                <xdr:colOff>38100</xdr:colOff>
                <xdr:row>55</xdr:row>
                <xdr:rowOff>19050</xdr:rowOff>
              </from>
              <to>
                <xdr:col>3</xdr:col>
                <xdr:colOff>342900</xdr:colOff>
                <xdr:row>57</xdr:row>
                <xdr:rowOff>9525</xdr:rowOff>
              </to>
            </anchor>
          </controlPr>
        </control>
      </mc:Choice>
      <mc:Fallback>
        <control shapeId="82970" r:id="rId4" name="btnhome3"/>
      </mc:Fallback>
    </mc:AlternateContent>
    <mc:AlternateContent xmlns:mc="http://schemas.openxmlformats.org/markup-compatibility/2006">
      <mc:Choice Requires="x14">
        <control shapeId="82969" r:id="rId6" name="chkhints2">
          <controlPr autoLine="0" r:id="rId7">
            <anchor moveWithCells="1">
              <from>
                <xdr:col>17</xdr:col>
                <xdr:colOff>142875</xdr:colOff>
                <xdr:row>30</xdr:row>
                <xdr:rowOff>0</xdr:rowOff>
              </from>
              <to>
                <xdr:col>17</xdr:col>
                <xdr:colOff>1019175</xdr:colOff>
                <xdr:row>31</xdr:row>
                <xdr:rowOff>47625</xdr:rowOff>
              </to>
            </anchor>
          </controlPr>
        </control>
      </mc:Choice>
      <mc:Fallback>
        <control shapeId="82969" r:id="rId6" name="chkhints2"/>
      </mc:Fallback>
    </mc:AlternateContent>
    <mc:AlternateContent xmlns:mc="http://schemas.openxmlformats.org/markup-compatibility/2006">
      <mc:Choice Requires="x14">
        <control shapeId="82966" r:id="rId8" name="chkhints">
          <controlPr autoLine="0" r:id="rId9">
            <anchor moveWithCells="1">
              <from>
                <xdr:col>2</xdr:col>
                <xdr:colOff>38100</xdr:colOff>
                <xdr:row>28</xdr:row>
                <xdr:rowOff>19050</xdr:rowOff>
              </from>
              <to>
                <xdr:col>3</xdr:col>
                <xdr:colOff>304800</xdr:colOff>
                <xdr:row>29</xdr:row>
                <xdr:rowOff>85725</xdr:rowOff>
              </to>
            </anchor>
          </controlPr>
        </control>
      </mc:Choice>
      <mc:Fallback>
        <control shapeId="82966" r:id="rId8" name="chkhints"/>
      </mc:Fallback>
    </mc:AlternateContent>
    <mc:AlternateContent xmlns:mc="http://schemas.openxmlformats.org/markup-compatibility/2006">
      <mc:Choice Requires="x14">
        <control shapeId="82947" r:id="rId10" name="btnHome2">
          <controlPr autoLine="0" r:id="rId11">
            <anchor moveWithCells="1">
              <from>
                <xdr:col>0</xdr:col>
                <xdr:colOff>171450</xdr:colOff>
                <xdr:row>0</xdr:row>
                <xdr:rowOff>152400</xdr:rowOff>
              </from>
              <to>
                <xdr:col>3</xdr:col>
                <xdr:colOff>180975</xdr:colOff>
                <xdr:row>2</xdr:row>
                <xdr:rowOff>38100</xdr:rowOff>
              </to>
            </anchor>
          </controlPr>
        </control>
      </mc:Choice>
      <mc:Fallback>
        <control shapeId="82947" r:id="rId10" name="btnHome2"/>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42"/>
  </sheetPr>
  <dimension ref="A1:R107"/>
  <sheetViews>
    <sheetView zoomScale="85" zoomScaleNormal="100" workbookViewId="0">
      <pane xSplit="1" ySplit="5" topLeftCell="F96" activePane="bottomRight" state="frozen"/>
      <selection pane="topRight" activeCell="B1" sqref="B1"/>
      <selection pane="bottomLeft" activeCell="A6" sqref="A6"/>
      <selection pane="bottomRight" activeCell="L69" sqref="L69"/>
    </sheetView>
  </sheetViews>
  <sheetFormatPr defaultRowHeight="12.75" x14ac:dyDescent="0.2"/>
  <cols>
    <col min="1" max="1" width="48.5703125" style="1" customWidth="1"/>
    <col min="2" max="2" width="17.7109375" style="169" bestFit="1" customWidth="1"/>
    <col min="3" max="3" width="17.5703125" style="169" customWidth="1"/>
    <col min="4" max="4" width="10.7109375" style="169" customWidth="1"/>
    <col min="5" max="5" width="13.7109375" style="169" customWidth="1"/>
    <col min="6" max="6" width="24" style="170" customWidth="1"/>
    <col min="7" max="7" width="10.42578125" style="322" customWidth="1"/>
    <col min="8" max="8" width="11.85546875" style="322" customWidth="1"/>
    <col min="9" max="9" width="13.28515625" style="189" customWidth="1"/>
    <col min="10" max="10" width="15.85546875" style="169" customWidth="1"/>
    <col min="11" max="11" width="2" style="1" customWidth="1"/>
    <col min="12" max="12" width="13.85546875" style="1" customWidth="1"/>
    <col min="13" max="13" width="15.85546875" style="1" customWidth="1"/>
    <col min="14" max="14" width="19.7109375" style="1" customWidth="1"/>
    <col min="15" max="16" width="11.28515625" style="1" hidden="1" customWidth="1"/>
    <col min="17" max="17" width="0" style="1" hidden="1" customWidth="1"/>
    <col min="18" max="16384" width="9.140625" style="1"/>
  </cols>
  <sheetData>
    <row r="1" spans="1:18" ht="15.75" thickBot="1" x14ac:dyDescent="0.25">
      <c r="A1" s="190"/>
      <c r="B1" s="191"/>
      <c r="C1" s="191"/>
      <c r="D1" s="192"/>
      <c r="E1" s="192"/>
      <c r="F1" s="193"/>
      <c r="G1" s="344" t="s">
        <v>313</v>
      </c>
      <c r="H1" s="345"/>
      <c r="I1" s="346">
        <f>IF(chkpostint=FALSE,SUM(sumcrimeasb,sumeducation,sumhealthcare,sumhousing,sumdrugs,sumsocialcare,sumextralines),SUM(sumcrimeasb_actual,sumeducation_actual,sumhealthcare_actual,sumhousing_actual,sumdrugs_actual,sumsocialcare_actual,sumextralines_actual))</f>
        <v>0</v>
      </c>
      <c r="J1" s="347"/>
      <c r="K1" s="196" t="b">
        <f>IF(COUNTIF(L:L,"&gt;0"),TRUE,FALSE)</f>
        <v>0</v>
      </c>
      <c r="L1" s="160"/>
      <c r="M1" s="160"/>
    </row>
    <row r="2" spans="1:18" ht="13.5" thickBot="1" x14ac:dyDescent="0.25">
      <c r="A2" s="191"/>
      <c r="B2" s="192"/>
      <c r="C2" s="192"/>
      <c r="D2" s="192"/>
      <c r="E2" s="192"/>
      <c r="F2" s="193"/>
      <c r="G2" s="194"/>
      <c r="H2" s="194"/>
      <c r="I2" s="192"/>
      <c r="J2" s="192"/>
      <c r="K2" s="191"/>
      <c r="L2" s="191"/>
      <c r="M2" s="191"/>
    </row>
    <row r="3" spans="1:18" ht="21" thickBot="1" x14ac:dyDescent="0.35">
      <c r="A3" s="191"/>
      <c r="B3" s="192"/>
      <c r="C3" s="195"/>
      <c r="D3" s="195"/>
      <c r="E3" s="192"/>
      <c r="F3" s="193"/>
      <c r="G3" s="348" t="s">
        <v>70</v>
      </c>
      <c r="H3" s="348"/>
      <c r="I3" s="198" t="s">
        <v>344</v>
      </c>
      <c r="J3" s="197"/>
      <c r="K3" s="191"/>
      <c r="L3" s="191"/>
      <c r="M3" s="191"/>
    </row>
    <row r="4" spans="1:18" ht="56.25" customHeight="1" thickBot="1" x14ac:dyDescent="0.35">
      <c r="A4" s="191"/>
      <c r="B4" s="192"/>
      <c r="C4" s="195"/>
      <c r="D4" s="192"/>
      <c r="E4" s="195" t="s">
        <v>211</v>
      </c>
      <c r="F4" s="193"/>
      <c r="G4" s="194"/>
      <c r="H4" s="194"/>
      <c r="I4" s="192"/>
      <c r="J4" s="192"/>
      <c r="K4" s="191"/>
      <c r="L4" s="191"/>
      <c r="M4" s="191"/>
    </row>
    <row r="5" spans="1:18" ht="54.75" customHeight="1" thickBot="1" x14ac:dyDescent="0.25">
      <c r="A5" s="199"/>
      <c r="B5" s="200" t="s">
        <v>0</v>
      </c>
      <c r="C5" s="200" t="s">
        <v>1</v>
      </c>
      <c r="D5" s="200"/>
      <c r="E5" s="200" t="s">
        <v>69</v>
      </c>
      <c r="F5" s="200" t="s">
        <v>2</v>
      </c>
      <c r="G5" s="300" t="s">
        <v>314</v>
      </c>
      <c r="H5" s="300" t="s">
        <v>98</v>
      </c>
      <c r="I5" s="200" t="s">
        <v>156</v>
      </c>
      <c r="J5" s="200" t="s">
        <v>67</v>
      </c>
      <c r="K5" s="249"/>
      <c r="L5" s="200" t="s">
        <v>157</v>
      </c>
      <c r="M5" s="200" t="s">
        <v>158</v>
      </c>
      <c r="Q5" s="305"/>
      <c r="R5" s="305"/>
    </row>
    <row r="6" spans="1:18" ht="18.75" thickBot="1" x14ac:dyDescent="0.25">
      <c r="A6" s="296" t="s">
        <v>3</v>
      </c>
      <c r="B6" s="297"/>
      <c r="C6" s="297"/>
      <c r="D6" s="297"/>
      <c r="E6" s="297"/>
      <c r="F6" s="297"/>
      <c r="G6" s="201"/>
      <c r="H6" s="201"/>
      <c r="I6" s="202"/>
      <c r="J6" s="203"/>
      <c r="K6" s="4"/>
    </row>
    <row r="7" spans="1:18" ht="13.5" thickBot="1" x14ac:dyDescent="0.25">
      <c r="A7" s="204" t="s">
        <v>4</v>
      </c>
      <c r="B7" s="205" t="s">
        <v>5</v>
      </c>
      <c r="C7" s="206">
        <v>5699</v>
      </c>
      <c r="D7" s="207">
        <f>C7</f>
        <v>5699</v>
      </c>
      <c r="E7" s="208"/>
      <c r="F7" s="209" t="s">
        <v>271</v>
      </c>
      <c r="G7" s="210">
        <f t="shared" ref="G7:G25" si="0">IF(L7&gt;0,IF(I7&gt;0,(I7-L7)/I7,0),IF(L7="",0,IF(I7&gt;0,I7/I7,0)))</f>
        <v>0</v>
      </c>
      <c r="H7" s="211"/>
      <c r="I7" s="212"/>
      <c r="J7" s="213" t="str">
        <f t="shared" ref="J7:J25" si="1">IF(AND(ISNUMBER(L7),OR(L7&lt;&gt;0,L7&lt;&gt;"")),IF(AND(ISNUMBER(I7),OR(I7&lt;&gt;0,I7&lt;&gt;"")),IF(E7&gt;0,E7*G7*I7,I7*D7*G7),""),IF(AND(ISNUMBER(I7),OR(I7&lt;&gt;0,I7&lt;&gt;"")),IF(E7&gt;0,IF(H7&gt;0,E7*H7*I7,E7*G7*I7),IF(H7&gt;0,I7*D7*H7,I7*D7*G7)),""))</f>
        <v/>
      </c>
      <c r="K7" s="4"/>
      <c r="L7" s="212"/>
      <c r="M7" s="213" t="str">
        <f t="shared" ref="M7:M25" si="2">IF(OR(I7&gt;0,L7&gt;0),IF(E7&gt;0,(I7-L7)*E7,(I7-L7)*D7),"")</f>
        <v/>
      </c>
      <c r="O7" s="172">
        <f t="shared" ref="O7:O25" si="3">IF(E7&gt;0,I7*E7,I7*D7)</f>
        <v>0</v>
      </c>
      <c r="P7" s="172">
        <f t="shared" ref="P7:P25" si="4">IF(E7&gt;0,L7*E7,L7*D7)</f>
        <v>0</v>
      </c>
    </row>
    <row r="8" spans="1:18" ht="13.5" thickBot="1" x14ac:dyDescent="0.25">
      <c r="A8" s="214" t="s">
        <v>6</v>
      </c>
      <c r="B8" s="205" t="s">
        <v>7</v>
      </c>
      <c r="C8" s="206">
        <v>330</v>
      </c>
      <c r="D8" s="207">
        <f>C8</f>
        <v>330</v>
      </c>
      <c r="E8" s="208"/>
      <c r="F8" s="209" t="s">
        <v>272</v>
      </c>
      <c r="G8" s="210">
        <f t="shared" si="0"/>
        <v>0</v>
      </c>
      <c r="H8" s="211"/>
      <c r="I8" s="212"/>
      <c r="J8" s="213" t="str">
        <f t="shared" si="1"/>
        <v/>
      </c>
      <c r="K8" s="4"/>
      <c r="L8" s="212"/>
      <c r="M8" s="213" t="str">
        <f t="shared" si="2"/>
        <v/>
      </c>
      <c r="O8" s="172">
        <f t="shared" si="3"/>
        <v>0</v>
      </c>
      <c r="P8" s="172">
        <f t="shared" si="4"/>
        <v>0</v>
      </c>
    </row>
    <row r="9" spans="1:18" ht="13.5" thickBot="1" x14ac:dyDescent="0.25">
      <c r="A9" s="204" t="s">
        <v>8</v>
      </c>
      <c r="B9" s="205" t="s">
        <v>7</v>
      </c>
      <c r="C9" s="206">
        <v>2293</v>
      </c>
      <c r="D9" s="207">
        <f>C9</f>
        <v>2293</v>
      </c>
      <c r="E9" s="208"/>
      <c r="F9" s="209" t="s">
        <v>273</v>
      </c>
      <c r="G9" s="210">
        <f t="shared" si="0"/>
        <v>0</v>
      </c>
      <c r="H9" s="211"/>
      <c r="I9" s="212"/>
      <c r="J9" s="213" t="str">
        <f t="shared" si="1"/>
        <v/>
      </c>
      <c r="K9" s="4"/>
      <c r="L9" s="212"/>
      <c r="M9" s="213" t="str">
        <f t="shared" si="2"/>
        <v/>
      </c>
      <c r="O9" s="172">
        <f t="shared" si="3"/>
        <v>0</v>
      </c>
      <c r="P9" s="172">
        <f t="shared" si="4"/>
        <v>0</v>
      </c>
    </row>
    <row r="10" spans="1:18" ht="13.5" thickBot="1" x14ac:dyDescent="0.25">
      <c r="A10" s="215" t="s">
        <v>136</v>
      </c>
      <c r="B10" s="205" t="s">
        <v>5</v>
      </c>
      <c r="C10" s="206" t="s">
        <v>274</v>
      </c>
      <c r="D10" s="206">
        <v>33</v>
      </c>
      <c r="E10" s="208"/>
      <c r="F10" s="209" t="s">
        <v>275</v>
      </c>
      <c r="G10" s="210">
        <f t="shared" si="0"/>
        <v>0</v>
      </c>
      <c r="H10" s="211"/>
      <c r="I10" s="212"/>
      <c r="J10" s="213" t="str">
        <f t="shared" si="1"/>
        <v/>
      </c>
      <c r="K10" s="4"/>
      <c r="L10" s="212"/>
      <c r="M10" s="213" t="str">
        <f t="shared" si="2"/>
        <v/>
      </c>
      <c r="O10" s="172">
        <f t="shared" si="3"/>
        <v>0</v>
      </c>
      <c r="P10" s="172">
        <f t="shared" si="4"/>
        <v>0</v>
      </c>
    </row>
    <row r="11" spans="1:18" ht="13.5" thickBot="1" x14ac:dyDescent="0.25">
      <c r="A11" s="215" t="s">
        <v>159</v>
      </c>
      <c r="B11" s="205" t="s">
        <v>7</v>
      </c>
      <c r="C11" s="206">
        <v>876</v>
      </c>
      <c r="D11" s="207">
        <f t="shared" ref="D11:D25" si="5">C11</f>
        <v>876</v>
      </c>
      <c r="E11" s="208"/>
      <c r="F11" s="209" t="s">
        <v>276</v>
      </c>
      <c r="G11" s="210">
        <f t="shared" si="0"/>
        <v>0</v>
      </c>
      <c r="H11" s="211"/>
      <c r="I11" s="212"/>
      <c r="J11" s="213" t="str">
        <f t="shared" si="1"/>
        <v/>
      </c>
      <c r="K11" s="4"/>
      <c r="L11" s="212"/>
      <c r="M11" s="213" t="str">
        <f t="shared" si="2"/>
        <v/>
      </c>
      <c r="O11" s="172">
        <f t="shared" si="3"/>
        <v>0</v>
      </c>
      <c r="P11" s="172">
        <f t="shared" si="4"/>
        <v>0</v>
      </c>
    </row>
    <row r="12" spans="1:18" ht="13.5" thickBot="1" x14ac:dyDescent="0.25">
      <c r="A12" s="204" t="s">
        <v>11</v>
      </c>
      <c r="B12" s="205" t="s">
        <v>12</v>
      </c>
      <c r="C12" s="206">
        <v>2387</v>
      </c>
      <c r="D12" s="207">
        <f t="shared" si="5"/>
        <v>2387</v>
      </c>
      <c r="E12" s="208"/>
      <c r="F12" s="209" t="s">
        <v>277</v>
      </c>
      <c r="G12" s="210">
        <f t="shared" si="0"/>
        <v>0</v>
      </c>
      <c r="H12" s="211"/>
      <c r="I12" s="212"/>
      <c r="J12" s="213" t="str">
        <f t="shared" si="1"/>
        <v/>
      </c>
      <c r="K12" s="4"/>
      <c r="L12" s="212"/>
      <c r="M12" s="213" t="str">
        <f t="shared" si="2"/>
        <v/>
      </c>
      <c r="O12" s="172">
        <f t="shared" si="3"/>
        <v>0</v>
      </c>
      <c r="P12" s="172">
        <f t="shared" si="4"/>
        <v>0</v>
      </c>
    </row>
    <row r="13" spans="1:18" ht="13.5" thickBot="1" x14ac:dyDescent="0.25">
      <c r="A13" s="204" t="s">
        <v>213</v>
      </c>
      <c r="B13" s="205" t="s">
        <v>7</v>
      </c>
      <c r="C13" s="206">
        <v>114</v>
      </c>
      <c r="D13" s="207">
        <f t="shared" si="5"/>
        <v>114</v>
      </c>
      <c r="E13" s="208"/>
      <c r="F13" s="209" t="s">
        <v>278</v>
      </c>
      <c r="G13" s="210">
        <f t="shared" si="0"/>
        <v>0</v>
      </c>
      <c r="H13" s="211"/>
      <c r="I13" s="212"/>
      <c r="J13" s="213" t="str">
        <f t="shared" si="1"/>
        <v/>
      </c>
      <c r="K13" s="4"/>
      <c r="L13" s="212"/>
      <c r="M13" s="213" t="str">
        <f t="shared" si="2"/>
        <v/>
      </c>
      <c r="O13" s="172">
        <f t="shared" si="3"/>
        <v>0</v>
      </c>
      <c r="P13" s="172">
        <f t="shared" si="4"/>
        <v>0</v>
      </c>
    </row>
    <row r="14" spans="1:18" ht="13.5" thickBot="1" x14ac:dyDescent="0.25">
      <c r="A14" s="204" t="s">
        <v>94</v>
      </c>
      <c r="B14" s="205" t="s">
        <v>7</v>
      </c>
      <c r="C14" s="206">
        <v>73</v>
      </c>
      <c r="D14" s="207">
        <f t="shared" si="5"/>
        <v>73</v>
      </c>
      <c r="E14" s="208"/>
      <c r="F14" s="209" t="s">
        <v>279</v>
      </c>
      <c r="G14" s="210">
        <f t="shared" si="0"/>
        <v>0</v>
      </c>
      <c r="H14" s="211"/>
      <c r="I14" s="212"/>
      <c r="J14" s="213" t="str">
        <f t="shared" si="1"/>
        <v/>
      </c>
      <c r="K14" s="4"/>
      <c r="L14" s="212"/>
      <c r="M14" s="213" t="str">
        <f t="shared" si="2"/>
        <v/>
      </c>
      <c r="O14" s="172">
        <f t="shared" si="3"/>
        <v>0</v>
      </c>
      <c r="P14" s="172">
        <f t="shared" si="4"/>
        <v>0</v>
      </c>
    </row>
    <row r="15" spans="1:18" ht="13.5" thickBot="1" x14ac:dyDescent="0.25">
      <c r="A15" s="204" t="s">
        <v>95</v>
      </c>
      <c r="B15" s="205" t="s">
        <v>14</v>
      </c>
      <c r="C15" s="206">
        <v>255</v>
      </c>
      <c r="D15" s="207">
        <f t="shared" si="5"/>
        <v>255</v>
      </c>
      <c r="E15" s="208"/>
      <c r="F15" s="209" t="s">
        <v>279</v>
      </c>
      <c r="G15" s="210">
        <f t="shared" si="0"/>
        <v>0</v>
      </c>
      <c r="H15" s="211"/>
      <c r="I15" s="212"/>
      <c r="J15" s="213" t="str">
        <f t="shared" si="1"/>
        <v/>
      </c>
      <c r="K15" s="4"/>
      <c r="L15" s="212"/>
      <c r="M15" s="213" t="str">
        <f t="shared" si="2"/>
        <v/>
      </c>
      <c r="O15" s="172">
        <f t="shared" si="3"/>
        <v>0</v>
      </c>
      <c r="P15" s="172">
        <f t="shared" si="4"/>
        <v>0</v>
      </c>
    </row>
    <row r="16" spans="1:18" ht="13.5" thickBot="1" x14ac:dyDescent="0.25">
      <c r="A16" s="204" t="s">
        <v>15</v>
      </c>
      <c r="B16" s="205" t="s">
        <v>14</v>
      </c>
      <c r="C16" s="206">
        <v>901</v>
      </c>
      <c r="D16" s="207">
        <f t="shared" si="5"/>
        <v>901</v>
      </c>
      <c r="E16" s="208"/>
      <c r="F16" s="209" t="s">
        <v>280</v>
      </c>
      <c r="G16" s="210">
        <f t="shared" si="0"/>
        <v>0</v>
      </c>
      <c r="H16" s="211"/>
      <c r="I16" s="212"/>
      <c r="J16" s="213" t="str">
        <f t="shared" si="1"/>
        <v/>
      </c>
      <c r="K16" s="4"/>
      <c r="L16" s="212"/>
      <c r="M16" s="213" t="str">
        <f t="shared" si="2"/>
        <v/>
      </c>
      <c r="O16" s="172">
        <f t="shared" si="3"/>
        <v>0</v>
      </c>
      <c r="P16" s="172">
        <f t="shared" si="4"/>
        <v>0</v>
      </c>
    </row>
    <row r="17" spans="1:16" ht="26.25" thickBot="1" x14ac:dyDescent="0.25">
      <c r="A17" s="215" t="s">
        <v>99</v>
      </c>
      <c r="B17" s="205" t="s">
        <v>14</v>
      </c>
      <c r="C17" s="206">
        <v>37095</v>
      </c>
      <c r="D17" s="207">
        <f t="shared" si="5"/>
        <v>37095</v>
      </c>
      <c r="E17" s="208"/>
      <c r="F17" s="209" t="s">
        <v>281</v>
      </c>
      <c r="G17" s="210">
        <f t="shared" si="0"/>
        <v>0</v>
      </c>
      <c r="H17" s="211"/>
      <c r="I17" s="212"/>
      <c r="J17" s="213" t="str">
        <f t="shared" si="1"/>
        <v/>
      </c>
      <c r="K17" s="4"/>
      <c r="L17" s="212"/>
      <c r="M17" s="213" t="str">
        <f t="shared" si="2"/>
        <v/>
      </c>
      <c r="O17" s="172">
        <f t="shared" si="3"/>
        <v>0</v>
      </c>
      <c r="P17" s="172">
        <f t="shared" si="4"/>
        <v>0</v>
      </c>
    </row>
    <row r="18" spans="1:16" ht="13.5" thickBot="1" x14ac:dyDescent="0.25">
      <c r="A18" s="204" t="s">
        <v>16</v>
      </c>
      <c r="B18" s="205" t="s">
        <v>14</v>
      </c>
      <c r="C18" s="206">
        <v>2144</v>
      </c>
      <c r="D18" s="207">
        <f t="shared" si="5"/>
        <v>2144</v>
      </c>
      <c r="E18" s="208"/>
      <c r="F18" s="209" t="s">
        <v>282</v>
      </c>
      <c r="G18" s="210">
        <f t="shared" si="0"/>
        <v>0</v>
      </c>
      <c r="H18" s="211"/>
      <c r="I18" s="212"/>
      <c r="J18" s="213" t="str">
        <f t="shared" si="1"/>
        <v/>
      </c>
      <c r="K18" s="4"/>
      <c r="L18" s="212"/>
      <c r="M18" s="213" t="str">
        <f t="shared" si="2"/>
        <v/>
      </c>
      <c r="O18" s="172">
        <f t="shared" si="3"/>
        <v>0</v>
      </c>
      <c r="P18" s="172">
        <f t="shared" si="4"/>
        <v>0</v>
      </c>
    </row>
    <row r="19" spans="1:16" ht="13.5" thickBot="1" x14ac:dyDescent="0.25">
      <c r="A19" s="204" t="s">
        <v>17</v>
      </c>
      <c r="B19" s="205" t="s">
        <v>14</v>
      </c>
      <c r="C19" s="206">
        <v>1326</v>
      </c>
      <c r="D19" s="207">
        <f t="shared" si="5"/>
        <v>1326</v>
      </c>
      <c r="E19" s="208"/>
      <c r="F19" s="209" t="s">
        <v>283</v>
      </c>
      <c r="G19" s="210">
        <f t="shared" si="0"/>
        <v>0</v>
      </c>
      <c r="H19" s="211"/>
      <c r="I19" s="212"/>
      <c r="J19" s="213" t="str">
        <f t="shared" si="1"/>
        <v/>
      </c>
      <c r="K19" s="4"/>
      <c r="L19" s="212"/>
      <c r="M19" s="213" t="str">
        <f t="shared" si="2"/>
        <v/>
      </c>
      <c r="O19" s="172">
        <f t="shared" si="3"/>
        <v>0</v>
      </c>
      <c r="P19" s="172">
        <f t="shared" si="4"/>
        <v>0</v>
      </c>
    </row>
    <row r="20" spans="1:16" ht="13.5" thickBot="1" x14ac:dyDescent="0.25">
      <c r="A20" s="204" t="s">
        <v>18</v>
      </c>
      <c r="B20" s="205" t="s">
        <v>14</v>
      </c>
      <c r="C20" s="206">
        <v>4631</v>
      </c>
      <c r="D20" s="207">
        <f t="shared" si="5"/>
        <v>4631</v>
      </c>
      <c r="E20" s="208"/>
      <c r="F20" s="209" t="s">
        <v>284</v>
      </c>
      <c r="G20" s="210">
        <f t="shared" si="0"/>
        <v>0</v>
      </c>
      <c r="H20" s="211"/>
      <c r="I20" s="212"/>
      <c r="J20" s="213" t="str">
        <f t="shared" si="1"/>
        <v/>
      </c>
      <c r="K20" s="4"/>
      <c r="L20" s="212"/>
      <c r="M20" s="213" t="str">
        <f t="shared" si="2"/>
        <v/>
      </c>
      <c r="O20" s="172">
        <f t="shared" si="3"/>
        <v>0</v>
      </c>
      <c r="P20" s="172">
        <f t="shared" si="4"/>
        <v>0</v>
      </c>
    </row>
    <row r="21" spans="1:16" ht="13.5" thickBot="1" x14ac:dyDescent="0.25">
      <c r="A21" s="204" t="s">
        <v>19</v>
      </c>
      <c r="B21" s="205" t="s">
        <v>5</v>
      </c>
      <c r="C21" s="206">
        <v>3432</v>
      </c>
      <c r="D21" s="207">
        <f t="shared" si="5"/>
        <v>3432</v>
      </c>
      <c r="E21" s="208"/>
      <c r="F21" s="209" t="s">
        <v>279</v>
      </c>
      <c r="G21" s="210">
        <f t="shared" si="0"/>
        <v>0</v>
      </c>
      <c r="H21" s="211"/>
      <c r="I21" s="212"/>
      <c r="J21" s="213" t="str">
        <f t="shared" si="1"/>
        <v/>
      </c>
      <c r="K21" s="4"/>
      <c r="L21" s="212"/>
      <c r="M21" s="213" t="str">
        <f t="shared" si="2"/>
        <v/>
      </c>
      <c r="O21" s="172">
        <f t="shared" si="3"/>
        <v>0</v>
      </c>
      <c r="P21" s="172">
        <f t="shared" si="4"/>
        <v>0</v>
      </c>
    </row>
    <row r="22" spans="1:16" ht="13.5" thickBot="1" x14ac:dyDescent="0.25">
      <c r="A22" s="216" t="s">
        <v>20</v>
      </c>
      <c r="B22" s="205" t="s">
        <v>5</v>
      </c>
      <c r="C22" s="206">
        <v>2500</v>
      </c>
      <c r="D22" s="207">
        <f t="shared" si="5"/>
        <v>2500</v>
      </c>
      <c r="E22" s="208"/>
      <c r="F22" s="209" t="s">
        <v>285</v>
      </c>
      <c r="G22" s="210">
        <f t="shared" si="0"/>
        <v>0</v>
      </c>
      <c r="H22" s="217"/>
      <c r="I22" s="212"/>
      <c r="J22" s="213" t="str">
        <f t="shared" si="1"/>
        <v/>
      </c>
      <c r="K22" s="4"/>
      <c r="L22" s="212"/>
      <c r="M22" s="213" t="str">
        <f t="shared" si="2"/>
        <v/>
      </c>
      <c r="O22" s="172">
        <f t="shared" si="3"/>
        <v>0</v>
      </c>
      <c r="P22" s="172">
        <f t="shared" si="4"/>
        <v>0</v>
      </c>
    </row>
    <row r="23" spans="1:16" ht="13.5" thickBot="1" x14ac:dyDescent="0.25">
      <c r="A23" s="216" t="s">
        <v>97</v>
      </c>
      <c r="B23" s="205" t="s">
        <v>21</v>
      </c>
      <c r="C23" s="206">
        <v>1377</v>
      </c>
      <c r="D23" s="207">
        <f t="shared" si="5"/>
        <v>1377</v>
      </c>
      <c r="E23" s="208"/>
      <c r="F23" s="209" t="s">
        <v>286</v>
      </c>
      <c r="G23" s="210">
        <f t="shared" si="0"/>
        <v>0</v>
      </c>
      <c r="H23" s="211"/>
      <c r="I23" s="212"/>
      <c r="J23" s="213" t="str">
        <f t="shared" si="1"/>
        <v/>
      </c>
      <c r="K23" s="4"/>
      <c r="L23" s="212"/>
      <c r="M23" s="213" t="str">
        <f t="shared" si="2"/>
        <v/>
      </c>
      <c r="O23" s="172">
        <f t="shared" si="3"/>
        <v>0</v>
      </c>
      <c r="P23" s="172">
        <f t="shared" si="4"/>
        <v>0</v>
      </c>
    </row>
    <row r="24" spans="1:16" ht="13.5" thickBot="1" x14ac:dyDescent="0.25">
      <c r="A24" s="204" t="s">
        <v>96</v>
      </c>
      <c r="B24" s="205" t="s">
        <v>21</v>
      </c>
      <c r="C24" s="206">
        <v>2043</v>
      </c>
      <c r="D24" s="207">
        <f t="shared" si="5"/>
        <v>2043</v>
      </c>
      <c r="E24" s="208"/>
      <c r="F24" s="209" t="s">
        <v>286</v>
      </c>
      <c r="G24" s="210">
        <f t="shared" si="0"/>
        <v>0</v>
      </c>
      <c r="H24" s="211"/>
      <c r="I24" s="212"/>
      <c r="J24" s="213" t="str">
        <f t="shared" si="1"/>
        <v/>
      </c>
      <c r="K24" s="4"/>
      <c r="L24" s="212"/>
      <c r="M24" s="213" t="str">
        <f t="shared" si="2"/>
        <v/>
      </c>
      <c r="O24" s="172">
        <f t="shared" si="3"/>
        <v>0</v>
      </c>
      <c r="P24" s="172">
        <f t="shared" si="4"/>
        <v>0</v>
      </c>
    </row>
    <row r="25" spans="1:16" ht="13.5" thickBot="1" x14ac:dyDescent="0.25">
      <c r="A25" s="204" t="s">
        <v>22</v>
      </c>
      <c r="B25" s="205" t="s">
        <v>21</v>
      </c>
      <c r="C25" s="218">
        <v>112.32</v>
      </c>
      <c r="D25" s="207">
        <f t="shared" si="5"/>
        <v>112.32</v>
      </c>
      <c r="E25" s="208"/>
      <c r="F25" s="219" t="s">
        <v>287</v>
      </c>
      <c r="G25" s="210">
        <f t="shared" si="0"/>
        <v>0</v>
      </c>
      <c r="H25" s="211"/>
      <c r="I25" s="212"/>
      <c r="J25" s="213" t="str">
        <f t="shared" si="1"/>
        <v/>
      </c>
      <c r="K25" s="4"/>
      <c r="L25" s="212"/>
      <c r="M25" s="213" t="str">
        <f t="shared" si="2"/>
        <v/>
      </c>
      <c r="O25" s="172">
        <f t="shared" si="3"/>
        <v>0</v>
      </c>
      <c r="P25" s="172">
        <f t="shared" si="4"/>
        <v>0</v>
      </c>
    </row>
    <row r="26" spans="1:16" ht="13.5" thickBot="1" x14ac:dyDescent="0.25">
      <c r="A26" s="178"/>
      <c r="B26" s="179"/>
      <c r="C26" s="177"/>
      <c r="D26" s="177"/>
      <c r="E26" s="177"/>
      <c r="H26" s="251" t="s">
        <v>68</v>
      </c>
      <c r="I26" s="349">
        <f>SUM(J7:J25)+SUMIF($Q$97:$Q$106,1,$J$97:$J$106)</f>
        <v>0</v>
      </c>
      <c r="J26" s="350"/>
      <c r="K26" s="250"/>
      <c r="L26" s="251"/>
      <c r="M26" s="252">
        <f>SUM(M7:M25)+SUMIF($Q$97:$Q$106,1,$M$97:$M$106)</f>
        <v>0</v>
      </c>
    </row>
    <row r="27" spans="1:16" ht="18.75" thickBot="1" x14ac:dyDescent="0.25">
      <c r="A27" s="298" t="s">
        <v>23</v>
      </c>
      <c r="B27" s="299"/>
      <c r="C27" s="299"/>
      <c r="D27" s="299"/>
      <c r="E27" s="299"/>
      <c r="F27" s="299"/>
      <c r="G27" s="201"/>
      <c r="H27" s="201"/>
      <c r="I27" s="202"/>
      <c r="J27" s="220" t="str">
        <f>IF(AND(ISNUMBER(I27),OR(I27&lt;&gt;0,I27&lt;&gt;"")),I27*C27,"")</f>
        <v/>
      </c>
      <c r="K27" s="4"/>
    </row>
    <row r="28" spans="1:16" ht="13.5" thickBot="1" x14ac:dyDescent="0.25">
      <c r="A28" s="215" t="s">
        <v>343</v>
      </c>
      <c r="B28" s="205" t="s">
        <v>24</v>
      </c>
      <c r="C28" s="237" t="s">
        <v>335</v>
      </c>
      <c r="D28" s="238">
        <v>1854</v>
      </c>
      <c r="E28" s="208"/>
      <c r="F28" s="209" t="s">
        <v>334</v>
      </c>
      <c r="G28" s="210">
        <f t="shared" ref="G28:G35" si="6">IF(L28&gt;0,IF(I28&gt;0,(I28-L28)/I28,0),IF(L28="",0,IF(I28&gt;0,I28/I28,0)))</f>
        <v>0</v>
      </c>
      <c r="H28" s="217"/>
      <c r="I28" s="212"/>
      <c r="J28" s="213" t="str">
        <f>IF(AND(ISNUMBER(L28),OR(L28&lt;&gt;0,L28&lt;&gt;"")),IF(AND(ISNUMBER(I28),OR(I28&lt;&gt;0,I28&lt;&gt;"")),IF(E28&gt;0,E28*G28*I28,I28*D28*G28),""),IF(AND(ISNUMBER(I28),OR(I28&lt;&gt;0,I28&lt;&gt;"")),IF(E28&gt;0,IF(H28&gt;0,E28*H28*I28,E28*G28*I28),IF(H28&gt;0,I28*D28*H28,I28*D28*G28)),""))</f>
        <v/>
      </c>
      <c r="K28" s="4"/>
      <c r="L28" s="212"/>
      <c r="M28" s="213" t="str">
        <f>IF(OR(I28&gt;0,L28&gt;0),IF(E28&gt;0,(I28-L28)*E28,(I28-L28)*D28),"")</f>
        <v/>
      </c>
      <c r="O28" s="172">
        <f>IF(E28&gt;0,I28*E28,I28*D28)</f>
        <v>0</v>
      </c>
      <c r="P28" s="172">
        <f>IF(E28&gt;0,L28*E28,L28*D28)</f>
        <v>0</v>
      </c>
    </row>
    <row r="29" spans="1:16" ht="26.25" thickBot="1" x14ac:dyDescent="0.25">
      <c r="A29" s="215" t="s">
        <v>85</v>
      </c>
      <c r="B29" s="205" t="s">
        <v>24</v>
      </c>
      <c r="C29" s="239" t="s">
        <v>214</v>
      </c>
      <c r="D29" s="238">
        <v>49</v>
      </c>
      <c r="E29" s="208"/>
      <c r="F29" s="209" t="s">
        <v>288</v>
      </c>
      <c r="G29" s="210">
        <f t="shared" si="6"/>
        <v>0</v>
      </c>
      <c r="H29" s="217"/>
      <c r="I29" s="212"/>
      <c r="J29" s="213" t="str">
        <f>IF(AND(ISNUMBER(L29),OR(L29&lt;&gt;0,L29&lt;&gt;"")),IF(AND(ISNUMBER(I29),OR(I29&lt;&gt;0,I29&lt;&gt;"")),IF(E29&gt;0,E29*G29*52/12*21,D29*G29*52/12*21),""),IF(AND(ISNUMBER(I29),OR(I29&lt;&gt;0,I29&lt;&gt;"")),IF(E29&gt;0,IF(H29&gt;0,E29*H29*52/12*21,E29*G29*52/12*21),IF(H29&gt;0,D29*H29*52/12*21,D29*G29*52/12*21)),""))</f>
        <v/>
      </c>
      <c r="K29" s="4"/>
      <c r="L29" s="212"/>
      <c r="M29" s="213" t="str">
        <f>IF(OR(I29&gt;0,L29&gt;0),IF(E29&gt;0,E29*(I29-L29)*52/12*21,D29*(I29-L29)*52/12*21),"")</f>
        <v/>
      </c>
      <c r="O29" s="172">
        <f>IF(I29&gt;0,IF(E29&gt;0,E29*52/12*21,D29*52/12*21),0)</f>
        <v>0</v>
      </c>
      <c r="P29" s="172">
        <f>IF(L29&gt;0,IF(E29&gt;0,E29*52/12*21,D29*52/12*21),0)</f>
        <v>0</v>
      </c>
    </row>
    <row r="30" spans="1:16" ht="26.25" thickBot="1" x14ac:dyDescent="0.25">
      <c r="A30" s="215" t="s">
        <v>86</v>
      </c>
      <c r="B30" s="205" t="s">
        <v>24</v>
      </c>
      <c r="C30" s="239" t="s">
        <v>215</v>
      </c>
      <c r="D30" s="238">
        <v>55</v>
      </c>
      <c r="E30" s="208"/>
      <c r="F30" s="209" t="s">
        <v>288</v>
      </c>
      <c r="G30" s="210">
        <f t="shared" si="6"/>
        <v>0</v>
      </c>
      <c r="H30" s="217"/>
      <c r="I30" s="212"/>
      <c r="J30" s="213" t="str">
        <f>IF(AND(ISNUMBER(L30),OR(L30&lt;&gt;0,L30&lt;&gt;"")),IF(AND(ISNUMBER(I30),OR(I30&lt;&gt;0,I30&lt;&gt;"")),IF(E30&gt;0,E30*G30*52/12*9,D30*G30*52/12*9),""),IF(AND(ISNUMBER(I30),OR(I30&lt;&gt;0,I30&lt;&gt;"")),IF(E30&gt;0,IF(H30&gt;0,E30*H30*52/12*9,E30*G30*52/12*9),IF(H30&gt;0,D30*H30*52/12*9,D30*G30*52/12*9)),""))</f>
        <v/>
      </c>
      <c r="K30" s="4"/>
      <c r="L30" s="212"/>
      <c r="M30" s="213" t="str">
        <f>IF(OR(I30&gt;0,L30&gt;0),IF(E30&gt;0,E30*(I30-L30)*52/12*9,D30*(I30-L30)*52/12*9),"")</f>
        <v/>
      </c>
      <c r="O30" s="172">
        <f>IF(I30&gt;0,IF(E30&gt;0,E30*52/12*9,D30*52/12*9),0)</f>
        <v>0</v>
      </c>
      <c r="P30" s="172">
        <f>IF(L30&gt;0,IF(E30&gt;0,E30*52/12*9,D30*52/12*9),0)</f>
        <v>0</v>
      </c>
    </row>
    <row r="31" spans="1:16" ht="26.25" thickBot="1" x14ac:dyDescent="0.25">
      <c r="A31" s="215" t="s">
        <v>87</v>
      </c>
      <c r="B31" s="205" t="s">
        <v>24</v>
      </c>
      <c r="C31" s="239" t="s">
        <v>216</v>
      </c>
      <c r="D31" s="238">
        <v>74</v>
      </c>
      <c r="E31" s="208"/>
      <c r="F31" s="209" t="s">
        <v>288</v>
      </c>
      <c r="G31" s="210">
        <f t="shared" si="6"/>
        <v>0</v>
      </c>
      <c r="H31" s="217"/>
      <c r="I31" s="212"/>
      <c r="J31" s="213" t="str">
        <f>IF(AND(ISNUMBER(L31),OR(L31&lt;&gt;0,L31&lt;&gt;"")),IF(AND(ISNUMBER(I31),OR(I31&lt;&gt;0,I31&lt;&gt;"")),IF(E31&gt;0,E31*G31*52/12*9,D31*G31*52/12*9),""),IF(AND(ISNUMBER(I31),OR(I31&lt;&gt;0,I31&lt;&gt;"")),IF(E31&gt;0,IF(H31&gt;0,E31*H31*52/12*9,E31*G31*52/12*9),IF(H31&gt;0,D31*H31*52/12*9,D31*G31*52/12*9)),""))</f>
        <v/>
      </c>
      <c r="K31" s="4"/>
      <c r="L31" s="212"/>
      <c r="M31" s="213" t="str">
        <f>IF(OR(I31&gt;0,L31&gt;0),IF(E31&gt;0,E31*(I31-L31)*52/12*9,D31*(I31-L31)*52/12*9),"")</f>
        <v/>
      </c>
      <c r="O31" s="172">
        <f>IF(I31&gt;0,IF(E31&gt;0,E31*52/12*9,D31*52/12*9),0)</f>
        <v>0</v>
      </c>
      <c r="P31" s="172">
        <f>IF(L31&gt;0,IF(E31&gt;0,E31*52/12*9,D31*52/12*9),0)</f>
        <v>0</v>
      </c>
    </row>
    <row r="32" spans="1:16" ht="13.5" thickBot="1" x14ac:dyDescent="0.25">
      <c r="A32" s="215" t="s">
        <v>155</v>
      </c>
      <c r="B32" s="205" t="s">
        <v>24</v>
      </c>
      <c r="C32" s="240" t="s">
        <v>336</v>
      </c>
      <c r="D32" s="238">
        <v>11686</v>
      </c>
      <c r="E32" s="208"/>
      <c r="F32" s="209" t="s">
        <v>334</v>
      </c>
      <c r="G32" s="210">
        <f t="shared" si="6"/>
        <v>0</v>
      </c>
      <c r="H32" s="217"/>
      <c r="I32" s="212"/>
      <c r="J32" s="213" t="str">
        <f>IF(AND(ISNUMBER(L32),OR(L32&lt;&gt;0,L32&lt;&gt;"")),IF(AND(ISNUMBER(I32),OR(I32&lt;&gt;0,I32&lt;&gt;"")),IF(E32&gt;0,E32*G32*I32,I32*D32*G32),""),IF(AND(ISNUMBER(I32),OR(I32&lt;&gt;0,I32&lt;&gt;"")),IF(E32&gt;0,IF(H32&gt;0,E32*H32*I32,E32*G32*I32),IF(H32&gt;0,I32*D32*H32,I32*D32*G32)),""))</f>
        <v/>
      </c>
      <c r="K32" s="4"/>
      <c r="L32" s="212"/>
      <c r="M32" s="213" t="str">
        <f>IF(OR(I32&gt;0,L32&gt;0),IF(E32&gt;0,(I32-L32)*E32,(I32-L32)*D32),"")</f>
        <v/>
      </c>
      <c r="O32" s="172">
        <f>IF(E32&gt;0,I32*E32,I32*D32)</f>
        <v>0</v>
      </c>
      <c r="P32" s="172">
        <f>IF(E32&gt;0,L32*E32,L32*D32)</f>
        <v>0</v>
      </c>
    </row>
    <row r="33" spans="1:16" ht="13.5" thickBot="1" x14ac:dyDescent="0.25">
      <c r="A33" s="215" t="s">
        <v>168</v>
      </c>
      <c r="B33" s="205" t="s">
        <v>24</v>
      </c>
      <c r="C33" s="240" t="s">
        <v>217</v>
      </c>
      <c r="D33" s="238">
        <v>98</v>
      </c>
      <c r="E33" s="208"/>
      <c r="F33" s="209"/>
      <c r="G33" s="210">
        <f t="shared" si="6"/>
        <v>0</v>
      </c>
      <c r="H33" s="217"/>
      <c r="I33" s="212"/>
      <c r="J33" s="213" t="str">
        <f>IF(AND(ISNUMBER(L33),OR(L33&lt;&gt;0,L33&lt;&gt;"")),IF(AND(ISNUMBER(I33),OR(I33&lt;&gt;0,I33&lt;&gt;"")),IF(E33&gt;0,E33*G33*I33,I33*D33*G33),""),IF(AND(ISNUMBER(I33),OR(I33&lt;&gt;0,I33&lt;&gt;"")),IF(E33&gt;0,IF(H33&gt;0,E33*H33*I33,E33*G33*I33),IF(H33&gt;0,I33*D33*H33,I33*D33*G33)),""))</f>
        <v/>
      </c>
      <c r="K33" s="4"/>
      <c r="L33" s="212"/>
      <c r="M33" s="213" t="str">
        <f>IF(OR(I33&gt;0,L33&gt;0),IF(E33&gt;0,(I33-L33)*E33,(I33-L33)*D33),"")</f>
        <v/>
      </c>
      <c r="O33" s="172">
        <f>IF(E33&gt;0,I33*E33,I33*D33)</f>
        <v>0</v>
      </c>
      <c r="P33" s="172">
        <f>IF(E33&gt;0,L33*E33,L33*D33)</f>
        <v>0</v>
      </c>
    </row>
    <row r="34" spans="1:16" ht="13.5" thickBot="1" x14ac:dyDescent="0.25">
      <c r="A34" s="215" t="s">
        <v>199</v>
      </c>
      <c r="B34" s="205" t="s">
        <v>7</v>
      </c>
      <c r="C34" s="240" t="s">
        <v>218</v>
      </c>
      <c r="D34" s="238">
        <v>15902</v>
      </c>
      <c r="E34" s="208"/>
      <c r="F34" s="209"/>
      <c r="G34" s="210">
        <f t="shared" si="6"/>
        <v>0</v>
      </c>
      <c r="H34" s="217"/>
      <c r="I34" s="212"/>
      <c r="J34" s="213" t="str">
        <f>IF(AND(ISNUMBER(L34),OR(L34&lt;&gt;0,L34&lt;&gt;"")),IF(AND(ISNUMBER(I34),OR(I34&lt;&gt;0,I34&lt;&gt;"")),IF(E34&gt;0,E34*G34*I34,I34*D34*G34),""),IF(AND(ISNUMBER(I34),OR(I34&lt;&gt;0,I34&lt;&gt;"")),IF(E34&gt;0,IF(H34&gt;0,E34*H34*I34,E34*G34*I34),IF(H34&gt;0,I34*D34*H34,I34*D34*G34)),""))</f>
        <v/>
      </c>
      <c r="K34" s="4"/>
      <c r="L34" s="212"/>
      <c r="M34" s="213" t="str">
        <f>IF(OR(I34&gt;0,L34&gt;0),IF(E34&gt;0,(I34-L34)*E34,(I34-L34)*D34),"")</f>
        <v/>
      </c>
      <c r="O34" s="172">
        <f>IF(E34&gt;0,I34*E34,I34*D34)</f>
        <v>0</v>
      </c>
      <c r="P34" s="172">
        <f>IF(E34&gt;0,L34*E34,L34*D34)</f>
        <v>0</v>
      </c>
    </row>
    <row r="35" spans="1:16" ht="13.5" thickBot="1" x14ac:dyDescent="0.25">
      <c r="A35" s="215" t="s">
        <v>219</v>
      </c>
      <c r="B35" s="205" t="s">
        <v>7</v>
      </c>
      <c r="C35" s="240" t="s">
        <v>220</v>
      </c>
      <c r="D35" s="238">
        <v>12</v>
      </c>
      <c r="E35" s="208"/>
      <c r="F35" s="209"/>
      <c r="G35" s="210">
        <f t="shared" si="6"/>
        <v>0</v>
      </c>
      <c r="H35" s="217"/>
      <c r="I35" s="212"/>
      <c r="J35" s="213" t="str">
        <f>IF(AND(ISNUMBER(L35),OR(L35&lt;&gt;0,L35&lt;&gt;"")),IF(AND(ISNUMBER(I35),OR(I35&lt;&gt;0,I35&lt;&gt;"")),IF(E35&gt;0,E35*G35*I35,I35*D35*G35),""),IF(AND(ISNUMBER(I35),OR(I35&lt;&gt;0,I35&lt;&gt;"")),IF(E35&gt;0,IF(H35&gt;0,E35*H35*I35,E35*G35*I35),IF(H35&gt;0,I35*D35*H35,I35*D35*G35)),""))</f>
        <v/>
      </c>
      <c r="K35" s="4"/>
      <c r="L35" s="212"/>
      <c r="M35" s="213" t="str">
        <f>IF(OR(I35&gt;0,L35&gt;0),IF(E35&gt;0,(I35-L35)*E35,(I35-L35)*D35),"")</f>
        <v/>
      </c>
      <c r="O35" s="172"/>
      <c r="P35" s="172"/>
    </row>
    <row r="36" spans="1:16" ht="13.5" thickBot="1" x14ac:dyDescent="0.25">
      <c r="A36" s="178"/>
      <c r="B36" s="179"/>
      <c r="C36" s="177"/>
      <c r="D36" s="177"/>
      <c r="E36" s="177"/>
      <c r="F36" s="180"/>
      <c r="G36" s="323"/>
      <c r="H36" s="253" t="s">
        <v>68</v>
      </c>
      <c r="I36" s="351">
        <f>SUM(J28:J35)+SUMIF($Q$97:$Q$106,3,$J$97:$J$106)</f>
        <v>0</v>
      </c>
      <c r="J36" s="352"/>
      <c r="K36" s="250"/>
      <c r="L36" s="251"/>
      <c r="M36" s="252">
        <f>SUM(M28:M35)+SUMIF($Q$97:$Q$106,3,$M$97:$M$106)</f>
        <v>0</v>
      </c>
    </row>
    <row r="37" spans="1:16" ht="18.75" thickBot="1" x14ac:dyDescent="0.25">
      <c r="A37" s="298" t="s">
        <v>25</v>
      </c>
      <c r="B37" s="299"/>
      <c r="C37" s="299"/>
      <c r="D37" s="299"/>
      <c r="E37" s="299"/>
      <c r="F37" s="299"/>
      <c r="G37" s="201"/>
      <c r="H37" s="221"/>
      <c r="I37" s="222"/>
      <c r="J37" s="223"/>
      <c r="K37" s="4"/>
    </row>
    <row r="38" spans="1:16" ht="13.5" thickBot="1" x14ac:dyDescent="0.25">
      <c r="A38" s="215" t="s">
        <v>26</v>
      </c>
      <c r="B38" s="205" t="s">
        <v>7</v>
      </c>
      <c r="C38" s="239">
        <v>878.23</v>
      </c>
      <c r="D38" s="241">
        <f t="shared" ref="D38:D49" si="7">C38</f>
        <v>878.23</v>
      </c>
      <c r="E38" s="208"/>
      <c r="F38" s="242" t="s">
        <v>289</v>
      </c>
      <c r="G38" s="210">
        <f t="shared" ref="G38:G50" si="8">IF(L38&gt;0,IF(I38&gt;0,(I38-L38)/I38,0),IF(L38="",0,IF(I38&gt;0,I38/I38,0)))</f>
        <v>0</v>
      </c>
      <c r="H38" s="211"/>
      <c r="I38" s="212"/>
      <c r="J38" s="213" t="str">
        <f t="shared" ref="J38:J50" si="9">IF(AND(ISNUMBER(L38),OR(L38&lt;&gt;0,L38&lt;&gt;"")),IF(AND(ISNUMBER(I38),OR(I38&lt;&gt;0,I38&lt;&gt;"")),IF(E38&gt;0,E38*G38*I38,I38*D38*G38),""),IF(AND(ISNUMBER(I38),OR(I38&lt;&gt;0,I38&lt;&gt;"")),IF(E38&gt;0,IF(H38&gt;0,E38*H38*I38,E38*G38*I38),IF(H38&gt;0,I38*D38*H38,I38*D38*G38)),""))</f>
        <v/>
      </c>
      <c r="K38" s="4"/>
      <c r="L38" s="212"/>
      <c r="M38" s="213" t="str">
        <f t="shared" ref="M38:M50" si="10">IF(OR(I38&gt;0,L38&gt;0),IF(E38&gt;0,(I38-L38)*E38,(I38-L38)*D38),"")</f>
        <v/>
      </c>
      <c r="O38" s="172">
        <f t="shared" ref="O38:O50" si="11">IF(E38&gt;0,I38*E38,I38*D38)</f>
        <v>0</v>
      </c>
      <c r="P38" s="172">
        <f t="shared" ref="P38:P50" si="12">IF(E38&gt;0,L38*E38,L38*D38)</f>
        <v>0</v>
      </c>
    </row>
    <row r="39" spans="1:16" ht="13.5" thickBot="1" x14ac:dyDescent="0.25">
      <c r="A39" s="215" t="s">
        <v>27</v>
      </c>
      <c r="B39" s="205" t="s">
        <v>7</v>
      </c>
      <c r="C39" s="239">
        <v>87.82</v>
      </c>
      <c r="D39" s="241">
        <f t="shared" si="7"/>
        <v>87.82</v>
      </c>
      <c r="E39" s="208"/>
      <c r="F39" s="242" t="s">
        <v>289</v>
      </c>
      <c r="G39" s="210">
        <f t="shared" si="8"/>
        <v>0</v>
      </c>
      <c r="H39" s="211"/>
      <c r="I39" s="212"/>
      <c r="J39" s="213" t="str">
        <f t="shared" si="9"/>
        <v/>
      </c>
      <c r="K39" s="4"/>
      <c r="L39" s="212"/>
      <c r="M39" s="213" t="str">
        <f t="shared" si="10"/>
        <v/>
      </c>
      <c r="O39" s="172">
        <f t="shared" si="11"/>
        <v>0</v>
      </c>
      <c r="P39" s="172">
        <f t="shared" si="12"/>
        <v>0</v>
      </c>
    </row>
    <row r="40" spans="1:16" ht="13.5" thickBot="1" x14ac:dyDescent="0.25">
      <c r="A40" s="215" t="s">
        <v>28</v>
      </c>
      <c r="B40" s="205" t="s">
        <v>7</v>
      </c>
      <c r="C40" s="240">
        <v>1464</v>
      </c>
      <c r="D40" s="241">
        <f t="shared" si="7"/>
        <v>1464</v>
      </c>
      <c r="E40" s="208"/>
      <c r="F40" s="242" t="s">
        <v>289</v>
      </c>
      <c r="G40" s="210">
        <f t="shared" si="8"/>
        <v>0</v>
      </c>
      <c r="H40" s="211"/>
      <c r="I40" s="212"/>
      <c r="J40" s="213" t="str">
        <f t="shared" si="9"/>
        <v/>
      </c>
      <c r="K40" s="4"/>
      <c r="L40" s="212"/>
      <c r="M40" s="213" t="str">
        <f t="shared" si="10"/>
        <v/>
      </c>
      <c r="O40" s="172">
        <f t="shared" si="11"/>
        <v>0</v>
      </c>
      <c r="P40" s="172">
        <f t="shared" si="12"/>
        <v>0</v>
      </c>
    </row>
    <row r="41" spans="1:16" ht="13.5" thickBot="1" x14ac:dyDescent="0.25">
      <c r="A41" s="215" t="s">
        <v>29</v>
      </c>
      <c r="B41" s="205" t="s">
        <v>7</v>
      </c>
      <c r="C41" s="240">
        <v>3745</v>
      </c>
      <c r="D41" s="241">
        <f t="shared" si="7"/>
        <v>3745</v>
      </c>
      <c r="E41" s="208"/>
      <c r="F41" s="242" t="s">
        <v>289</v>
      </c>
      <c r="G41" s="210">
        <f t="shared" si="8"/>
        <v>0</v>
      </c>
      <c r="H41" s="211"/>
      <c r="I41" s="212"/>
      <c r="J41" s="213" t="str">
        <f t="shared" si="9"/>
        <v/>
      </c>
      <c r="K41" s="4"/>
      <c r="L41" s="212"/>
      <c r="M41" s="213" t="str">
        <f t="shared" si="10"/>
        <v/>
      </c>
      <c r="O41" s="172">
        <f t="shared" si="11"/>
        <v>0</v>
      </c>
      <c r="P41" s="172">
        <f t="shared" si="12"/>
        <v>0</v>
      </c>
    </row>
    <row r="42" spans="1:16" ht="13.5" thickBot="1" x14ac:dyDescent="0.25">
      <c r="A42" s="215" t="s">
        <v>30</v>
      </c>
      <c r="B42" s="205" t="s">
        <v>7</v>
      </c>
      <c r="C42" s="240">
        <v>16830</v>
      </c>
      <c r="D42" s="241">
        <f t="shared" si="7"/>
        <v>16830</v>
      </c>
      <c r="E42" s="208"/>
      <c r="F42" s="242" t="s">
        <v>290</v>
      </c>
      <c r="G42" s="210">
        <f t="shared" si="8"/>
        <v>0</v>
      </c>
      <c r="H42" s="211"/>
      <c r="I42" s="212"/>
      <c r="J42" s="213" t="str">
        <f t="shared" si="9"/>
        <v/>
      </c>
      <c r="K42" s="4"/>
      <c r="L42" s="212"/>
      <c r="M42" s="213" t="str">
        <f t="shared" si="10"/>
        <v/>
      </c>
      <c r="O42" s="172">
        <f t="shared" si="11"/>
        <v>0</v>
      </c>
      <c r="P42" s="172">
        <f t="shared" si="12"/>
        <v>0</v>
      </c>
    </row>
    <row r="43" spans="1:16" ht="13.5" thickBot="1" x14ac:dyDescent="0.25">
      <c r="A43" s="215" t="s">
        <v>31</v>
      </c>
      <c r="B43" s="205" t="s">
        <v>7</v>
      </c>
      <c r="C43" s="240">
        <v>4854</v>
      </c>
      <c r="D43" s="241">
        <f t="shared" si="7"/>
        <v>4854</v>
      </c>
      <c r="E43" s="208"/>
      <c r="F43" s="242" t="s">
        <v>291</v>
      </c>
      <c r="G43" s="210">
        <f t="shared" si="8"/>
        <v>0</v>
      </c>
      <c r="H43" s="211"/>
      <c r="I43" s="212"/>
      <c r="J43" s="213" t="str">
        <f t="shared" si="9"/>
        <v/>
      </c>
      <c r="K43" s="4"/>
      <c r="L43" s="212"/>
      <c r="M43" s="213" t="str">
        <f t="shared" si="10"/>
        <v/>
      </c>
      <c r="O43" s="172">
        <f t="shared" si="11"/>
        <v>0</v>
      </c>
      <c r="P43" s="172">
        <f t="shared" si="12"/>
        <v>0</v>
      </c>
    </row>
    <row r="44" spans="1:16" ht="13.5" thickBot="1" x14ac:dyDescent="0.25">
      <c r="A44" s="215" t="s">
        <v>32</v>
      </c>
      <c r="B44" s="205" t="s">
        <v>7</v>
      </c>
      <c r="C44" s="240">
        <v>7072</v>
      </c>
      <c r="D44" s="241">
        <f t="shared" si="7"/>
        <v>7072</v>
      </c>
      <c r="E44" s="208"/>
      <c r="F44" s="242"/>
      <c r="G44" s="210">
        <f t="shared" si="8"/>
        <v>0</v>
      </c>
      <c r="H44" s="211"/>
      <c r="I44" s="212"/>
      <c r="J44" s="213" t="str">
        <f t="shared" si="9"/>
        <v/>
      </c>
      <c r="K44" s="4"/>
      <c r="L44" s="212"/>
      <c r="M44" s="213" t="str">
        <f t="shared" si="10"/>
        <v/>
      </c>
      <c r="O44" s="172">
        <f t="shared" si="11"/>
        <v>0</v>
      </c>
      <c r="P44" s="172">
        <f t="shared" si="12"/>
        <v>0</v>
      </c>
    </row>
    <row r="45" spans="1:16" ht="13.5" thickBot="1" x14ac:dyDescent="0.25">
      <c r="A45" s="215" t="s">
        <v>33</v>
      </c>
      <c r="B45" s="205" t="s">
        <v>7</v>
      </c>
      <c r="C45" s="240">
        <v>1094</v>
      </c>
      <c r="D45" s="241">
        <f t="shared" si="7"/>
        <v>1094</v>
      </c>
      <c r="E45" s="208"/>
      <c r="F45" s="242" t="s">
        <v>292</v>
      </c>
      <c r="G45" s="210">
        <f t="shared" si="8"/>
        <v>0</v>
      </c>
      <c r="H45" s="211"/>
      <c r="I45" s="212"/>
      <c r="J45" s="213" t="str">
        <f t="shared" si="9"/>
        <v/>
      </c>
      <c r="K45" s="4"/>
      <c r="L45" s="212"/>
      <c r="M45" s="213" t="str">
        <f t="shared" si="10"/>
        <v/>
      </c>
      <c r="O45" s="172">
        <f t="shared" si="11"/>
        <v>0</v>
      </c>
      <c r="P45" s="172">
        <f t="shared" si="12"/>
        <v>0</v>
      </c>
    </row>
    <row r="46" spans="1:16" ht="13.5" thickBot="1" x14ac:dyDescent="0.25">
      <c r="A46" s="215" t="s">
        <v>34</v>
      </c>
      <c r="B46" s="205" t="s">
        <v>7</v>
      </c>
      <c r="C46" s="240">
        <v>5708</v>
      </c>
      <c r="D46" s="241">
        <f t="shared" si="7"/>
        <v>5708</v>
      </c>
      <c r="E46" s="208"/>
      <c r="F46" s="242" t="s">
        <v>292</v>
      </c>
      <c r="G46" s="210">
        <f t="shared" si="8"/>
        <v>0</v>
      </c>
      <c r="H46" s="211"/>
      <c r="I46" s="212"/>
      <c r="J46" s="213" t="str">
        <f t="shared" si="9"/>
        <v/>
      </c>
      <c r="K46" s="4"/>
      <c r="L46" s="212"/>
      <c r="M46" s="213" t="str">
        <f t="shared" si="10"/>
        <v/>
      </c>
      <c r="O46" s="172">
        <f t="shared" si="11"/>
        <v>0</v>
      </c>
      <c r="P46" s="172">
        <f t="shared" si="12"/>
        <v>0</v>
      </c>
    </row>
    <row r="47" spans="1:16" ht="13.5" thickBot="1" x14ac:dyDescent="0.25">
      <c r="A47" s="215" t="s">
        <v>35</v>
      </c>
      <c r="B47" s="205" t="s">
        <v>7</v>
      </c>
      <c r="C47" s="240">
        <v>4716</v>
      </c>
      <c r="D47" s="241">
        <f t="shared" si="7"/>
        <v>4716</v>
      </c>
      <c r="E47" s="208"/>
      <c r="F47" s="242" t="s">
        <v>293</v>
      </c>
      <c r="G47" s="210">
        <f t="shared" si="8"/>
        <v>0</v>
      </c>
      <c r="H47" s="211"/>
      <c r="I47" s="212"/>
      <c r="J47" s="213" t="str">
        <f t="shared" si="9"/>
        <v/>
      </c>
      <c r="K47" s="4"/>
      <c r="L47" s="212"/>
      <c r="M47" s="213" t="str">
        <f t="shared" si="10"/>
        <v/>
      </c>
      <c r="O47" s="172">
        <f t="shared" si="11"/>
        <v>0</v>
      </c>
      <c r="P47" s="172">
        <f t="shared" si="12"/>
        <v>0</v>
      </c>
    </row>
    <row r="48" spans="1:16" ht="13.5" thickBot="1" x14ac:dyDescent="0.25">
      <c r="A48" s="215" t="s">
        <v>36</v>
      </c>
      <c r="B48" s="205" t="s">
        <v>7</v>
      </c>
      <c r="C48" s="239">
        <v>1756</v>
      </c>
      <c r="D48" s="241">
        <f t="shared" si="7"/>
        <v>1756</v>
      </c>
      <c r="E48" s="208"/>
      <c r="F48" s="242" t="s">
        <v>292</v>
      </c>
      <c r="G48" s="210">
        <f t="shared" si="8"/>
        <v>0</v>
      </c>
      <c r="H48" s="211"/>
      <c r="I48" s="212"/>
      <c r="J48" s="213" t="str">
        <f t="shared" si="9"/>
        <v/>
      </c>
      <c r="K48" s="4"/>
      <c r="L48" s="212"/>
      <c r="M48" s="213" t="str">
        <f t="shared" si="10"/>
        <v/>
      </c>
      <c r="O48" s="172">
        <f t="shared" si="11"/>
        <v>0</v>
      </c>
      <c r="P48" s="172">
        <f t="shared" si="12"/>
        <v>0</v>
      </c>
    </row>
    <row r="49" spans="1:16" ht="13.5" thickBot="1" x14ac:dyDescent="0.25">
      <c r="A49" s="215" t="s">
        <v>137</v>
      </c>
      <c r="B49" s="205" t="s">
        <v>7</v>
      </c>
      <c r="C49" s="239">
        <v>766</v>
      </c>
      <c r="D49" s="241">
        <f t="shared" si="7"/>
        <v>766</v>
      </c>
      <c r="E49" s="208"/>
      <c r="F49" s="242"/>
      <c r="G49" s="210">
        <f t="shared" si="8"/>
        <v>0</v>
      </c>
      <c r="H49" s="211"/>
      <c r="I49" s="212"/>
      <c r="J49" s="213" t="str">
        <f t="shared" si="9"/>
        <v/>
      </c>
      <c r="K49" s="4"/>
      <c r="L49" s="212"/>
      <c r="M49" s="213" t="str">
        <f t="shared" si="10"/>
        <v/>
      </c>
      <c r="O49" s="172">
        <f t="shared" si="11"/>
        <v>0</v>
      </c>
      <c r="P49" s="172">
        <f t="shared" si="12"/>
        <v>0</v>
      </c>
    </row>
    <row r="50" spans="1:16" ht="13.5" thickBot="1" x14ac:dyDescent="0.25">
      <c r="A50" s="215" t="s">
        <v>167</v>
      </c>
      <c r="B50" s="205" t="s">
        <v>7</v>
      </c>
      <c r="C50" s="239"/>
      <c r="D50" s="241">
        <f>E50</f>
        <v>0</v>
      </c>
      <c r="E50" s="208"/>
      <c r="F50" s="242"/>
      <c r="G50" s="210">
        <f t="shared" si="8"/>
        <v>0</v>
      </c>
      <c r="H50" s="211"/>
      <c r="I50" s="212"/>
      <c r="J50" s="213" t="str">
        <f t="shared" si="9"/>
        <v/>
      </c>
      <c r="K50" s="4"/>
      <c r="L50" s="212"/>
      <c r="M50" s="213" t="str">
        <f t="shared" si="10"/>
        <v/>
      </c>
      <c r="O50" s="172">
        <f t="shared" si="11"/>
        <v>0</v>
      </c>
      <c r="P50" s="172">
        <f t="shared" si="12"/>
        <v>0</v>
      </c>
    </row>
    <row r="51" spans="1:16" ht="13.5" thickBot="1" x14ac:dyDescent="0.25">
      <c r="A51" s="174"/>
      <c r="B51" s="175"/>
      <c r="C51" s="176"/>
      <c r="D51" s="176"/>
      <c r="E51" s="176"/>
      <c r="F51" s="182"/>
      <c r="G51" s="324"/>
      <c r="H51" s="253" t="s">
        <v>68</v>
      </c>
      <c r="I51" s="351">
        <f>SUM(J38:J49)+SUMIF($Q$97:$Q$106,5,$J$97:$J$106)</f>
        <v>0</v>
      </c>
      <c r="J51" s="352"/>
      <c r="K51" s="250"/>
      <c r="L51" s="251"/>
      <c r="M51" s="252">
        <f>SUM(M38:M50)+SUMIF($Q$97:$Q$106,5,$M$97:$M$106)</f>
        <v>0</v>
      </c>
    </row>
    <row r="52" spans="1:16" ht="18.75" thickBot="1" x14ac:dyDescent="0.25">
      <c r="A52" s="298" t="s">
        <v>37</v>
      </c>
      <c r="B52" s="299"/>
      <c r="C52" s="299"/>
      <c r="D52" s="299"/>
      <c r="E52" s="299"/>
      <c r="F52" s="299"/>
      <c r="G52" s="201"/>
      <c r="H52" s="221"/>
      <c r="I52" s="222"/>
      <c r="J52" s="224"/>
      <c r="K52" s="4"/>
    </row>
    <row r="53" spans="1:16" ht="13.5" thickBot="1" x14ac:dyDescent="0.25">
      <c r="A53" s="204" t="s">
        <v>161</v>
      </c>
      <c r="B53" s="205" t="s">
        <v>39</v>
      </c>
      <c r="C53" s="237" t="s">
        <v>221</v>
      </c>
      <c r="D53" s="238">
        <v>131</v>
      </c>
      <c r="E53" s="208"/>
      <c r="F53" s="242" t="s">
        <v>294</v>
      </c>
      <c r="G53" s="210">
        <f t="shared" ref="G53:G70" si="13">IF(L53&gt;0,IF(I53&gt;0,(I53-L53)/I53,0),IF(L53="",0,IF(I53&gt;0,I53/I53,0)))</f>
        <v>0</v>
      </c>
      <c r="H53" s="211"/>
      <c r="I53" s="212"/>
      <c r="J53" s="213" t="str">
        <f t="shared" ref="J53:J70" si="14">IF(AND(ISNUMBER(L53),OR(L53&lt;&gt;0,L53&lt;&gt;"")),IF(AND(ISNUMBER(I53),OR(I53&lt;&gt;0,I53&lt;&gt;"")),IF(E53&gt;0,E53*G53*I53,I53*D53*G53),""),IF(AND(ISNUMBER(I53),OR(I53&lt;&gt;0,I53&lt;&gt;"")),IF(E53&gt;0,IF(H53&gt;0,E53*H53*I53,E53*G53*I53),IF(H53&gt;0,I53*D53*H53,I53*D53*G53)),""))</f>
        <v/>
      </c>
      <c r="K53" s="4"/>
      <c r="L53" s="212"/>
      <c r="M53" s="213" t="str">
        <f t="shared" ref="M53:M70" si="15">IF(OR(I53&gt;0,L53&gt;0),IF(E53&gt;0,(I53-L53)*E53,(I53-L53)*D53),"")</f>
        <v/>
      </c>
      <c r="O53" s="172">
        <f t="shared" ref="O53:O70" si="16">IF(E53&gt;0,I53*E53,I53*D53)</f>
        <v>0</v>
      </c>
      <c r="P53" s="172">
        <f t="shared" ref="P53:P70" si="17">IF(E53&gt;0,L53*E53,L53*D53)</f>
        <v>0</v>
      </c>
    </row>
    <row r="54" spans="1:16" ht="13.5" thickBot="1" x14ac:dyDescent="0.25">
      <c r="A54" s="204" t="s">
        <v>160</v>
      </c>
      <c r="B54" s="205" t="s">
        <v>39</v>
      </c>
      <c r="C54" s="237" t="s">
        <v>222</v>
      </c>
      <c r="D54" s="238">
        <v>142</v>
      </c>
      <c r="E54" s="208"/>
      <c r="F54" s="242" t="s">
        <v>295</v>
      </c>
      <c r="G54" s="210">
        <f t="shared" si="13"/>
        <v>0</v>
      </c>
      <c r="H54" s="211"/>
      <c r="I54" s="212"/>
      <c r="J54" s="213" t="str">
        <f t="shared" si="14"/>
        <v/>
      </c>
      <c r="K54" s="4"/>
      <c r="L54" s="212"/>
      <c r="M54" s="213" t="str">
        <f t="shared" si="15"/>
        <v/>
      </c>
      <c r="O54" s="172">
        <f t="shared" si="16"/>
        <v>0</v>
      </c>
      <c r="P54" s="172">
        <f t="shared" si="17"/>
        <v>0</v>
      </c>
    </row>
    <row r="55" spans="1:16" ht="13.5" thickBot="1" x14ac:dyDescent="0.25">
      <c r="A55" s="204" t="s">
        <v>40</v>
      </c>
      <c r="B55" s="205" t="s">
        <v>39</v>
      </c>
      <c r="C55" s="237" t="s">
        <v>223</v>
      </c>
      <c r="D55" s="238">
        <v>272.37</v>
      </c>
      <c r="E55" s="208"/>
      <c r="F55" s="242" t="s">
        <v>41</v>
      </c>
      <c r="G55" s="210">
        <f t="shared" si="13"/>
        <v>0</v>
      </c>
      <c r="H55" s="211"/>
      <c r="I55" s="212"/>
      <c r="J55" s="213" t="str">
        <f t="shared" si="14"/>
        <v/>
      </c>
      <c r="K55" s="4"/>
      <c r="L55" s="212"/>
      <c r="M55" s="213" t="str">
        <f t="shared" si="15"/>
        <v/>
      </c>
      <c r="O55" s="172">
        <f t="shared" si="16"/>
        <v>0</v>
      </c>
      <c r="P55" s="172">
        <f t="shared" si="17"/>
        <v>0</v>
      </c>
    </row>
    <row r="56" spans="1:16" ht="13.5" thickBot="1" x14ac:dyDescent="0.25">
      <c r="A56" s="204" t="s">
        <v>42</v>
      </c>
      <c r="B56" s="205" t="s">
        <v>39</v>
      </c>
      <c r="C56" s="237" t="s">
        <v>224</v>
      </c>
      <c r="D56" s="238">
        <v>247</v>
      </c>
      <c r="E56" s="208"/>
      <c r="F56" s="242" t="s">
        <v>43</v>
      </c>
      <c r="G56" s="210">
        <f t="shared" si="13"/>
        <v>0</v>
      </c>
      <c r="H56" s="211"/>
      <c r="I56" s="212"/>
      <c r="J56" s="213" t="str">
        <f t="shared" si="14"/>
        <v/>
      </c>
      <c r="K56" s="4"/>
      <c r="L56" s="212"/>
      <c r="M56" s="213" t="str">
        <f t="shared" si="15"/>
        <v/>
      </c>
      <c r="O56" s="172">
        <f t="shared" si="16"/>
        <v>0</v>
      </c>
      <c r="P56" s="172">
        <f t="shared" si="17"/>
        <v>0</v>
      </c>
    </row>
    <row r="57" spans="1:16" ht="13.5" thickBot="1" x14ac:dyDescent="0.25">
      <c r="A57" s="204" t="s">
        <v>44</v>
      </c>
      <c r="B57" s="205" t="s">
        <v>39</v>
      </c>
      <c r="C57" s="237" t="s">
        <v>225</v>
      </c>
      <c r="D57" s="238">
        <v>152</v>
      </c>
      <c r="E57" s="208"/>
      <c r="F57" s="242" t="s">
        <v>327</v>
      </c>
      <c r="G57" s="210">
        <f t="shared" si="13"/>
        <v>0</v>
      </c>
      <c r="H57" s="211"/>
      <c r="I57" s="212"/>
      <c r="J57" s="213" t="str">
        <f t="shared" si="14"/>
        <v/>
      </c>
      <c r="K57" s="4"/>
      <c r="L57" s="212"/>
      <c r="M57" s="213" t="str">
        <f t="shared" si="15"/>
        <v/>
      </c>
      <c r="O57" s="172">
        <f t="shared" si="16"/>
        <v>0</v>
      </c>
      <c r="P57" s="172">
        <f t="shared" si="17"/>
        <v>0</v>
      </c>
    </row>
    <row r="58" spans="1:16" ht="13.5" thickBot="1" x14ac:dyDescent="0.25">
      <c r="A58" s="204" t="s">
        <v>162</v>
      </c>
      <c r="B58" s="205" t="s">
        <v>39</v>
      </c>
      <c r="C58" s="237" t="s">
        <v>163</v>
      </c>
      <c r="D58" s="238">
        <v>105</v>
      </c>
      <c r="E58" s="208"/>
      <c r="F58" s="242" t="s">
        <v>296</v>
      </c>
      <c r="G58" s="210">
        <f t="shared" si="13"/>
        <v>0</v>
      </c>
      <c r="H58" s="211"/>
      <c r="I58" s="212"/>
      <c r="J58" s="213" t="str">
        <f t="shared" si="14"/>
        <v/>
      </c>
      <c r="K58" s="4"/>
      <c r="L58" s="212"/>
      <c r="M58" s="213" t="str">
        <f t="shared" si="15"/>
        <v/>
      </c>
      <c r="O58" s="172">
        <f t="shared" si="16"/>
        <v>0</v>
      </c>
      <c r="P58" s="172">
        <f t="shared" si="17"/>
        <v>0</v>
      </c>
    </row>
    <row r="59" spans="1:16" ht="13.5" thickBot="1" x14ac:dyDescent="0.25">
      <c r="A59" s="204" t="s">
        <v>226</v>
      </c>
      <c r="B59" s="205" t="s">
        <v>39</v>
      </c>
      <c r="C59" s="237" t="s">
        <v>227</v>
      </c>
      <c r="D59" s="238">
        <v>32</v>
      </c>
      <c r="E59" s="208"/>
      <c r="F59" s="242" t="s">
        <v>328</v>
      </c>
      <c r="G59" s="210">
        <f t="shared" si="13"/>
        <v>0</v>
      </c>
      <c r="H59" s="211"/>
      <c r="I59" s="212"/>
      <c r="J59" s="213" t="str">
        <f t="shared" si="14"/>
        <v/>
      </c>
      <c r="K59" s="4"/>
      <c r="L59" s="212"/>
      <c r="M59" s="213" t="str">
        <f t="shared" si="15"/>
        <v/>
      </c>
      <c r="O59" s="172">
        <f t="shared" si="16"/>
        <v>0</v>
      </c>
      <c r="P59" s="172">
        <f t="shared" si="17"/>
        <v>0</v>
      </c>
    </row>
    <row r="60" spans="1:16" ht="13.5" thickBot="1" x14ac:dyDescent="0.25">
      <c r="A60" s="204" t="s">
        <v>322</v>
      </c>
      <c r="B60" s="205" t="s">
        <v>39</v>
      </c>
      <c r="C60" s="237" t="s">
        <v>323</v>
      </c>
      <c r="D60" s="238">
        <v>9</v>
      </c>
      <c r="E60" s="208"/>
      <c r="F60" s="242" t="s">
        <v>324</v>
      </c>
      <c r="G60" s="210">
        <f t="shared" si="13"/>
        <v>0</v>
      </c>
      <c r="H60" s="211"/>
      <c r="I60" s="212"/>
      <c r="J60" s="213" t="str">
        <f t="shared" si="14"/>
        <v/>
      </c>
      <c r="K60" s="4"/>
      <c r="L60" s="212"/>
      <c r="M60" s="213" t="str">
        <f t="shared" si="15"/>
        <v/>
      </c>
      <c r="O60" s="172">
        <f t="shared" si="16"/>
        <v>0</v>
      </c>
      <c r="P60" s="172">
        <f t="shared" si="17"/>
        <v>0</v>
      </c>
    </row>
    <row r="61" spans="1:16" ht="13.5" thickBot="1" x14ac:dyDescent="0.25">
      <c r="A61" s="204" t="s">
        <v>228</v>
      </c>
      <c r="B61" s="205" t="s">
        <v>39</v>
      </c>
      <c r="C61" s="237" t="s">
        <v>229</v>
      </c>
      <c r="D61" s="238">
        <v>108</v>
      </c>
      <c r="E61" s="208"/>
      <c r="F61" s="242" t="s">
        <v>329</v>
      </c>
      <c r="G61" s="210">
        <f t="shared" si="13"/>
        <v>0</v>
      </c>
      <c r="H61" s="211"/>
      <c r="I61" s="212"/>
      <c r="J61" s="213" t="str">
        <f t="shared" si="14"/>
        <v/>
      </c>
      <c r="K61" s="4"/>
      <c r="L61" s="212"/>
      <c r="M61" s="213" t="str">
        <f t="shared" si="15"/>
        <v/>
      </c>
      <c r="O61" s="172">
        <f t="shared" si="16"/>
        <v>0</v>
      </c>
      <c r="P61" s="172">
        <f t="shared" si="17"/>
        <v>0</v>
      </c>
    </row>
    <row r="62" spans="1:16" ht="13.5" thickBot="1" x14ac:dyDescent="0.25">
      <c r="A62" s="204" t="s">
        <v>325</v>
      </c>
      <c r="B62" s="205" t="s">
        <v>39</v>
      </c>
      <c r="C62" s="237" t="s">
        <v>326</v>
      </c>
      <c r="D62" s="238">
        <v>13</v>
      </c>
      <c r="E62" s="208"/>
      <c r="F62" s="242" t="s">
        <v>46</v>
      </c>
      <c r="G62" s="210">
        <f t="shared" si="13"/>
        <v>0</v>
      </c>
      <c r="H62" s="211"/>
      <c r="I62" s="212"/>
      <c r="J62" s="213" t="str">
        <f t="shared" si="14"/>
        <v/>
      </c>
      <c r="K62" s="4"/>
      <c r="L62" s="212"/>
      <c r="M62" s="213" t="str">
        <f t="shared" si="15"/>
        <v/>
      </c>
      <c r="O62" s="172">
        <f t="shared" si="16"/>
        <v>0</v>
      </c>
      <c r="P62" s="172">
        <f t="shared" si="17"/>
        <v>0</v>
      </c>
    </row>
    <row r="63" spans="1:16" ht="13.5" thickBot="1" x14ac:dyDescent="0.25">
      <c r="A63" s="204" t="s">
        <v>48</v>
      </c>
      <c r="B63" s="205" t="s">
        <v>39</v>
      </c>
      <c r="C63" s="237" t="s">
        <v>230</v>
      </c>
      <c r="D63" s="238">
        <v>27</v>
      </c>
      <c r="E63" s="208"/>
      <c r="F63" s="242" t="s">
        <v>324</v>
      </c>
      <c r="G63" s="210">
        <f t="shared" si="13"/>
        <v>0</v>
      </c>
      <c r="H63" s="211"/>
      <c r="I63" s="212"/>
      <c r="J63" s="213" t="str">
        <f t="shared" si="14"/>
        <v/>
      </c>
      <c r="K63" s="4"/>
      <c r="L63" s="212"/>
      <c r="M63" s="213" t="str">
        <f t="shared" si="15"/>
        <v/>
      </c>
      <c r="O63" s="172">
        <f t="shared" si="16"/>
        <v>0</v>
      </c>
      <c r="P63" s="172">
        <f t="shared" si="17"/>
        <v>0</v>
      </c>
    </row>
    <row r="64" spans="1:16" ht="13.5" thickBot="1" x14ac:dyDescent="0.25">
      <c r="A64" s="204" t="s">
        <v>49</v>
      </c>
      <c r="B64" s="205" t="s">
        <v>39</v>
      </c>
      <c r="C64" s="206">
        <v>8</v>
      </c>
      <c r="D64" s="238">
        <v>8</v>
      </c>
      <c r="E64" s="208"/>
      <c r="F64" s="242" t="s">
        <v>297</v>
      </c>
      <c r="G64" s="210">
        <f t="shared" si="13"/>
        <v>0</v>
      </c>
      <c r="H64" s="211"/>
      <c r="I64" s="212"/>
      <c r="J64" s="213" t="str">
        <f t="shared" si="14"/>
        <v/>
      </c>
      <c r="K64" s="4"/>
      <c r="L64" s="212"/>
      <c r="M64" s="213" t="str">
        <f t="shared" si="15"/>
        <v/>
      </c>
      <c r="O64" s="172">
        <f t="shared" si="16"/>
        <v>0</v>
      </c>
      <c r="P64" s="172">
        <f t="shared" si="17"/>
        <v>0</v>
      </c>
    </row>
    <row r="65" spans="1:16" ht="13.5" thickBot="1" x14ac:dyDescent="0.25">
      <c r="A65" s="204" t="s">
        <v>231</v>
      </c>
      <c r="B65" s="205" t="s">
        <v>39</v>
      </c>
      <c r="C65" s="206">
        <v>39</v>
      </c>
      <c r="D65" s="238">
        <v>39</v>
      </c>
      <c r="E65" s="208"/>
      <c r="F65" s="242" t="s">
        <v>298</v>
      </c>
      <c r="G65" s="210">
        <f t="shared" si="13"/>
        <v>0</v>
      </c>
      <c r="H65" s="211"/>
      <c r="I65" s="212"/>
      <c r="J65" s="213" t="str">
        <f t="shared" si="14"/>
        <v/>
      </c>
      <c r="K65" s="4"/>
      <c r="L65" s="212"/>
      <c r="M65" s="213" t="str">
        <f t="shared" si="15"/>
        <v/>
      </c>
      <c r="O65" s="172">
        <f t="shared" si="16"/>
        <v>0</v>
      </c>
      <c r="P65" s="172">
        <f t="shared" si="17"/>
        <v>0</v>
      </c>
    </row>
    <row r="66" spans="1:16" ht="13.5" thickBot="1" x14ac:dyDescent="0.25">
      <c r="A66" s="204" t="s">
        <v>50</v>
      </c>
      <c r="B66" s="205" t="s">
        <v>39</v>
      </c>
      <c r="C66" s="237" t="s">
        <v>51</v>
      </c>
      <c r="D66" s="238">
        <v>11</v>
      </c>
      <c r="E66" s="208"/>
      <c r="F66" s="242" t="s">
        <v>52</v>
      </c>
      <c r="G66" s="210">
        <f t="shared" si="13"/>
        <v>0</v>
      </c>
      <c r="H66" s="211"/>
      <c r="I66" s="212"/>
      <c r="J66" s="213" t="str">
        <f t="shared" si="14"/>
        <v/>
      </c>
      <c r="K66" s="4"/>
      <c r="L66" s="212"/>
      <c r="M66" s="213" t="str">
        <f t="shared" si="15"/>
        <v/>
      </c>
      <c r="O66" s="172">
        <f t="shared" si="16"/>
        <v>0</v>
      </c>
      <c r="P66" s="172">
        <f t="shared" si="17"/>
        <v>0</v>
      </c>
    </row>
    <row r="67" spans="1:16" ht="13.5" thickBot="1" x14ac:dyDescent="0.25">
      <c r="A67" s="204" t="s">
        <v>170</v>
      </c>
      <c r="B67" s="205" t="s">
        <v>39</v>
      </c>
      <c r="C67" s="237" t="s">
        <v>232</v>
      </c>
      <c r="D67" s="238">
        <v>104</v>
      </c>
      <c r="E67" s="208"/>
      <c r="F67" s="242" t="s">
        <v>53</v>
      </c>
      <c r="G67" s="210">
        <f t="shared" si="13"/>
        <v>0</v>
      </c>
      <c r="H67" s="211"/>
      <c r="I67" s="212"/>
      <c r="J67" s="213" t="str">
        <f t="shared" si="14"/>
        <v/>
      </c>
      <c r="K67" s="4"/>
      <c r="L67" s="212"/>
      <c r="M67" s="213" t="str">
        <f t="shared" si="15"/>
        <v/>
      </c>
      <c r="O67" s="172">
        <f t="shared" si="16"/>
        <v>0</v>
      </c>
      <c r="P67" s="172">
        <f t="shared" si="17"/>
        <v>0</v>
      </c>
    </row>
    <row r="68" spans="1:16" ht="13.5" thickBot="1" x14ac:dyDescent="0.25">
      <c r="A68" s="204" t="s">
        <v>93</v>
      </c>
      <c r="B68" s="205" t="s">
        <v>39</v>
      </c>
      <c r="C68" s="206">
        <v>4788</v>
      </c>
      <c r="D68" s="238">
        <v>4788</v>
      </c>
      <c r="E68" s="208"/>
      <c r="F68" s="242" t="s">
        <v>299</v>
      </c>
      <c r="G68" s="210">
        <f t="shared" si="13"/>
        <v>0</v>
      </c>
      <c r="H68" s="211"/>
      <c r="I68" s="212"/>
      <c r="J68" s="213" t="str">
        <f t="shared" si="14"/>
        <v/>
      </c>
      <c r="K68" s="4"/>
      <c r="L68" s="212"/>
      <c r="M68" s="213" t="str">
        <f t="shared" si="15"/>
        <v/>
      </c>
      <c r="O68" s="172">
        <f t="shared" si="16"/>
        <v>0</v>
      </c>
      <c r="P68" s="172">
        <f t="shared" si="17"/>
        <v>0</v>
      </c>
    </row>
    <row r="69" spans="1:16" ht="13.5" thickBot="1" x14ac:dyDescent="0.25">
      <c r="A69" s="204" t="s">
        <v>233</v>
      </c>
      <c r="B69" s="205" t="s">
        <v>39</v>
      </c>
      <c r="C69" s="206">
        <v>1543</v>
      </c>
      <c r="D69" s="238">
        <v>1543</v>
      </c>
      <c r="E69" s="208"/>
      <c r="F69" s="242" t="s">
        <v>300</v>
      </c>
      <c r="G69" s="210">
        <f t="shared" si="13"/>
        <v>0</v>
      </c>
      <c r="H69" s="211"/>
      <c r="I69" s="212"/>
      <c r="J69" s="213" t="str">
        <f t="shared" si="14"/>
        <v/>
      </c>
      <c r="K69" s="4"/>
      <c r="L69" s="212"/>
      <c r="M69" s="213" t="str">
        <f t="shared" si="15"/>
        <v/>
      </c>
      <c r="O69" s="172">
        <f t="shared" si="16"/>
        <v>0</v>
      </c>
      <c r="P69" s="172">
        <f t="shared" si="17"/>
        <v>0</v>
      </c>
    </row>
    <row r="70" spans="1:16" ht="13.5" thickBot="1" x14ac:dyDescent="0.25">
      <c r="A70" s="204" t="s">
        <v>234</v>
      </c>
      <c r="B70" s="205" t="s">
        <v>39</v>
      </c>
      <c r="C70" s="206">
        <v>813</v>
      </c>
      <c r="D70" s="238">
        <v>813</v>
      </c>
      <c r="E70" s="208"/>
      <c r="F70" s="242" t="s">
        <v>301</v>
      </c>
      <c r="G70" s="210">
        <f t="shared" si="13"/>
        <v>0</v>
      </c>
      <c r="H70" s="211"/>
      <c r="I70" s="212"/>
      <c r="J70" s="213" t="str">
        <f t="shared" si="14"/>
        <v/>
      </c>
      <c r="K70" s="4"/>
      <c r="L70" s="212"/>
      <c r="M70" s="213" t="str">
        <f t="shared" si="15"/>
        <v/>
      </c>
      <c r="O70" s="172">
        <f t="shared" si="16"/>
        <v>0</v>
      </c>
      <c r="P70" s="172">
        <f t="shared" si="17"/>
        <v>0</v>
      </c>
    </row>
    <row r="71" spans="1:16" ht="13.5" thickBot="1" x14ac:dyDescent="0.25">
      <c r="A71" s="174"/>
      <c r="B71" s="175"/>
      <c r="C71" s="176"/>
      <c r="D71" s="176"/>
      <c r="E71" s="176"/>
      <c r="F71" s="182"/>
      <c r="G71" s="324"/>
      <c r="H71" s="253" t="s">
        <v>68</v>
      </c>
      <c r="I71" s="351">
        <f>SUM(J53:J70)+SUMIF($Q$97:$Q$106,4,$J$97:$J$106)</f>
        <v>0</v>
      </c>
      <c r="J71" s="352"/>
      <c r="K71" s="250"/>
      <c r="L71" s="251"/>
      <c r="M71" s="252">
        <f>SUM(M53:M70)+SUMIF($Q$97:$Q$106,4,$M$97:$M$106)</f>
        <v>0</v>
      </c>
    </row>
    <row r="72" spans="1:16" ht="18.75" thickBot="1" x14ac:dyDescent="0.25">
      <c r="A72" s="298" t="s">
        <v>54</v>
      </c>
      <c r="B72" s="299"/>
      <c r="C72" s="299"/>
      <c r="D72" s="299"/>
      <c r="E72" s="299"/>
      <c r="F72" s="299"/>
      <c r="G72" s="201"/>
      <c r="H72" s="221"/>
      <c r="I72" s="222"/>
      <c r="J72" s="224"/>
      <c r="K72" s="4"/>
    </row>
    <row r="73" spans="1:16" ht="13.5" thickBot="1" x14ac:dyDescent="0.25">
      <c r="A73" s="204" t="s">
        <v>88</v>
      </c>
      <c r="B73" s="205" t="s">
        <v>13</v>
      </c>
      <c r="C73" s="237" t="s">
        <v>235</v>
      </c>
      <c r="D73" s="238">
        <v>810</v>
      </c>
      <c r="E73" s="208"/>
      <c r="F73" s="242" t="s">
        <v>302</v>
      </c>
      <c r="G73" s="210">
        <f>IF(L73&gt;0,IF(I73&gt;0,(I73-L73)/I73,0),IF(L73="",0,IF(I73&gt;0,I73/I73,0)))</f>
        <v>0</v>
      </c>
      <c r="H73" s="211"/>
      <c r="I73" s="212"/>
      <c r="J73" s="213" t="str">
        <f>IF(AND(ISNUMBER(L73),OR(L73&lt;&gt;0,L73&lt;&gt;"")),IF(AND(ISNUMBER(I73),OR(I73&lt;&gt;0,I73&lt;&gt;"")),IF(E73&gt;0,E73*G73*I73,I73*D73*G73),""),IF(AND(ISNUMBER(I73),OR(I73&lt;&gt;0,I73&lt;&gt;"")),IF(E73&gt;0,IF(H73&gt;0,E73*H73*I73,E73*G73*I73),IF(H73&gt;0,I73*D73*H73,I73*D73*G73)),""))</f>
        <v/>
      </c>
      <c r="K73" s="4"/>
      <c r="L73" s="212"/>
      <c r="M73" s="213" t="str">
        <f>IF(OR(I73&gt;0,L73&gt;0),IF(E73&gt;0,(I73-L73)*E73,(I73-L73)*D73),"")</f>
        <v/>
      </c>
      <c r="O73" s="172">
        <f>IF(E73&gt;0,I73*E73,I73*D73)</f>
        <v>0</v>
      </c>
      <c r="P73" s="172">
        <f>IF(E73&gt;0,L73*E73,L73*D73)</f>
        <v>0</v>
      </c>
    </row>
    <row r="74" spans="1:16" ht="13.5" thickBot="1" x14ac:dyDescent="0.25">
      <c r="A74" s="204" t="s">
        <v>236</v>
      </c>
      <c r="B74" s="205" t="s">
        <v>39</v>
      </c>
      <c r="C74" s="237" t="s">
        <v>222</v>
      </c>
      <c r="D74" s="238">
        <v>142</v>
      </c>
      <c r="E74" s="208"/>
      <c r="F74" s="242" t="s">
        <v>303</v>
      </c>
      <c r="G74" s="210">
        <f>IF(L74&gt;0,IF(I74&gt;0,(I74-L74)/I74,0),IF(L74="",0,IF(I74&gt;0,I74/I74,0)))</f>
        <v>0</v>
      </c>
      <c r="H74" s="211"/>
      <c r="I74" s="212"/>
      <c r="J74" s="213" t="str">
        <f>IF(AND(ISNUMBER(L74),OR(L74&lt;&gt;0,L74&lt;&gt;"")),IF(AND(ISNUMBER(I74),OR(I74&lt;&gt;0,I74&lt;&gt;"")),IF(E74&gt;0,E74*G74*I74,I74*D74*G74),""),IF(AND(ISNUMBER(I74),OR(I74&lt;&gt;0,I74&lt;&gt;"")),IF(E74&gt;0,IF(H74&gt;0,E74*H74*I74,E74*G74*I74),IF(H74&gt;0,I74*D74*H74,I74*D74*G74)),""))</f>
        <v/>
      </c>
      <c r="K74" s="4"/>
      <c r="L74" s="212"/>
      <c r="M74" s="213" t="str">
        <f>IF(OR(I74&gt;0,L74&gt;0),IF(E74&gt;0,(I74-L74)*E74,(I74-L74)*D74),"")</f>
        <v/>
      </c>
      <c r="O74" s="172">
        <f>IF(E74&gt;0,I74*E74,I74*D74)</f>
        <v>0</v>
      </c>
      <c r="P74" s="172">
        <f>IF(E74&gt;0,L74*E74,L74*D74)</f>
        <v>0</v>
      </c>
    </row>
    <row r="75" spans="1:16" ht="13.5" thickBot="1" x14ac:dyDescent="0.25">
      <c r="A75" s="204" t="s">
        <v>55</v>
      </c>
      <c r="B75" s="205" t="s">
        <v>39</v>
      </c>
      <c r="C75" s="237" t="s">
        <v>165</v>
      </c>
      <c r="D75" s="238">
        <v>44</v>
      </c>
      <c r="E75" s="208"/>
      <c r="F75" s="242" t="s">
        <v>304</v>
      </c>
      <c r="G75" s="210">
        <f>IF(L75&gt;0,IF(I75&gt;0,(I75-L75)/I75,0),IF(L75="",0,IF(I75&gt;0,I75/I75,0)))</f>
        <v>0</v>
      </c>
      <c r="H75" s="211"/>
      <c r="I75" s="212"/>
      <c r="J75" s="213" t="str">
        <f>IF(AND(ISNUMBER(L75),OR(L75&lt;&gt;0,L75&lt;&gt;"")),IF(AND(ISNUMBER(I75),OR(I75&lt;&gt;0,I75&lt;&gt;"")),IF(E75&gt;0,E75*G75*I75,I75*D75*G75),""),IF(AND(ISNUMBER(I75),OR(I75&lt;&gt;0,I75&lt;&gt;"")),IF(E75&gt;0,IF(H75&gt;0,E75*H75*I75,E75*G75*I75),IF(H75&gt;0,I75*D75*H75,I75*D75*G75)),""))</f>
        <v/>
      </c>
      <c r="K75" s="4"/>
      <c r="L75" s="212"/>
      <c r="M75" s="213" t="str">
        <f>IF(OR(I75&gt;0,L75&gt;0),IF(E75&gt;0,(I75-L75)*E75,(I75-L75)*D75),"")</f>
        <v/>
      </c>
      <c r="O75" s="172">
        <f>IF(E75&gt;0,I75*E75,I75*D75)</f>
        <v>0</v>
      </c>
      <c r="P75" s="172">
        <f>IF(E75&gt;0,L75*E75,L75*D75)</f>
        <v>0</v>
      </c>
    </row>
    <row r="76" spans="1:16" ht="13.5" thickBot="1" x14ac:dyDescent="0.25">
      <c r="A76" s="204" t="s">
        <v>237</v>
      </c>
      <c r="B76" s="205" t="s">
        <v>39</v>
      </c>
      <c r="C76" s="240">
        <v>40</v>
      </c>
      <c r="D76" s="238">
        <v>40</v>
      </c>
      <c r="E76" s="208"/>
      <c r="F76" s="242" t="s">
        <v>306</v>
      </c>
      <c r="G76" s="210">
        <f>IF(L76&gt;0,IF(I76&gt;0,(I76-L76)/I76,0),IF(L76="",0,IF(I76&gt;0,I76/I76,0)))</f>
        <v>0</v>
      </c>
      <c r="H76" s="211"/>
      <c r="I76" s="212"/>
      <c r="J76" s="213" t="str">
        <f>IF(AND(ISNUMBER(L76),OR(L76&lt;&gt;0,L76&lt;&gt;"")),IF(AND(ISNUMBER(I76),OR(I76&lt;&gt;0,I76&lt;&gt;"")),IF(E76&gt;0,E76*G76*I76,I76*D76*G76),""),IF(AND(ISNUMBER(I76),OR(I76&lt;&gt;0,I76&lt;&gt;"")),IF(E76&gt;0,IF(H76&gt;0,E76*H76*I76,E76*G76*I76),IF(H76&gt;0,I76*D76*H76,I76*D76*G76)),""))</f>
        <v/>
      </c>
      <c r="K76" s="4"/>
      <c r="L76" s="212"/>
      <c r="M76" s="213" t="str">
        <f>IF(OR(I76&gt;0,L76&gt;0),IF(E76&gt;0,(I76-L76)*E76,(I76-L76)*D76),"")</f>
        <v/>
      </c>
      <c r="O76" s="172">
        <f>IF(E76&gt;0,I76*E76,I76*D76)</f>
        <v>0</v>
      </c>
      <c r="P76" s="172">
        <f>IF(E76&gt;0,L76*E76,L76*D76)</f>
        <v>0</v>
      </c>
    </row>
    <row r="77" spans="1:16" ht="13.5" thickBot="1" x14ac:dyDescent="0.25">
      <c r="A77" s="204" t="s">
        <v>166</v>
      </c>
      <c r="B77" s="205" t="s">
        <v>39</v>
      </c>
      <c r="C77" s="237" t="s">
        <v>215</v>
      </c>
      <c r="D77" s="238">
        <v>55</v>
      </c>
      <c r="E77" s="208"/>
      <c r="F77" s="242" t="s">
        <v>305</v>
      </c>
      <c r="G77" s="210">
        <f>IF(L77&gt;0,IF(I77&gt;0,(I77-L77)/I77,0),IF(L77="",0,IF(I77&gt;0,I77/I77,0)))</f>
        <v>0</v>
      </c>
      <c r="H77" s="211"/>
      <c r="I77" s="212"/>
      <c r="J77" s="213" t="str">
        <f>IF(AND(ISNUMBER(L77),OR(L77&lt;&gt;0,L77&lt;&gt;"")),IF(AND(ISNUMBER(I77),OR(I77&lt;&gt;0,I77&lt;&gt;"")),IF(E77&gt;0,E77*G77*I77,I77*D77*G77),""),IF(AND(ISNUMBER(I77),OR(I77&lt;&gt;0,I77&lt;&gt;"")),IF(E77&gt;0,IF(H77&gt;0,E77*H77*I77,E77*G77*I77),IF(H77&gt;0,I77*D77*H77,I77*D77*G77)),""))</f>
        <v/>
      </c>
      <c r="K77" s="4"/>
      <c r="L77" s="212"/>
      <c r="M77" s="213" t="str">
        <f>IF(OR(I77&gt;0,L77&gt;0),IF(E77&gt;0,(I77-L77)*E77,(I77-L77)*D77),"")</f>
        <v/>
      </c>
      <c r="O77" s="172">
        <f>IF(E77&gt;0,I77*E77,I77*D77)</f>
        <v>0</v>
      </c>
      <c r="P77" s="172">
        <f>IF(E77&gt;0,L77*E77,L77*D77)</f>
        <v>0</v>
      </c>
    </row>
    <row r="78" spans="1:16" ht="13.5" thickBot="1" x14ac:dyDescent="0.25">
      <c r="A78" s="174"/>
      <c r="B78" s="175"/>
      <c r="C78" s="176"/>
      <c r="D78" s="176"/>
      <c r="E78" s="176"/>
      <c r="F78" s="182"/>
      <c r="G78" s="324"/>
      <c r="H78" s="253" t="s">
        <v>68</v>
      </c>
      <c r="I78" s="351">
        <f>SUM(J73:J77)+SUMIF($Q$97:$Q$106,2,$J$97:$J$106)</f>
        <v>0</v>
      </c>
      <c r="J78" s="352"/>
      <c r="K78" s="250"/>
      <c r="L78" s="251"/>
      <c r="M78" s="252">
        <f>SUM(M73:M77)+SUMIF($Q$97:$Q$106,2,$M$97:$M$106)</f>
        <v>0</v>
      </c>
    </row>
    <row r="79" spans="1:16" ht="18.75" thickBot="1" x14ac:dyDescent="0.25">
      <c r="A79" s="298" t="s">
        <v>56</v>
      </c>
      <c r="B79" s="299"/>
      <c r="C79" s="299"/>
      <c r="D79" s="299"/>
      <c r="E79" s="299"/>
      <c r="F79" s="299"/>
      <c r="G79" s="201"/>
      <c r="H79" s="221"/>
      <c r="I79" s="222"/>
      <c r="J79" s="225"/>
      <c r="K79" s="4"/>
    </row>
    <row r="80" spans="1:16" ht="13.5" thickBot="1" x14ac:dyDescent="0.25">
      <c r="A80" s="204" t="s">
        <v>57</v>
      </c>
      <c r="B80" s="205" t="s">
        <v>58</v>
      </c>
      <c r="C80" s="206" t="s">
        <v>238</v>
      </c>
      <c r="D80" s="238">
        <v>52</v>
      </c>
      <c r="E80" s="208"/>
      <c r="F80" s="242" t="s">
        <v>307</v>
      </c>
      <c r="G80" s="210">
        <f t="shared" ref="G80:G89" si="18">IF(L80&gt;0,IF(I80&gt;0,(I80-L80)/I80,0),IF(L80="",0,IF(I80&gt;0,I80/I80,0)))</f>
        <v>0</v>
      </c>
      <c r="H80" s="211"/>
      <c r="I80" s="212"/>
      <c r="J80" s="213" t="str">
        <f t="shared" ref="J80:J86" si="19">IF(AND(ISNUMBER(L80),OR(L80&lt;&gt;0,L80&lt;&gt;"")),IF(AND(ISNUMBER(I80),OR(I80&lt;&gt;0,I80&lt;&gt;"")),IF(E80&gt;0,E80*G80*I80,I80*D80*G80),""),IF(AND(ISNUMBER(I80),OR(I80&lt;&gt;0,I80&lt;&gt;"")),IF(E80&gt;0,IF(H80&gt;0,E80*H80*I80,E80*G80*I80),IF(H80&gt;0,I80*D80*H80,I80*D80*G80)),""))</f>
        <v/>
      </c>
      <c r="K80" s="4"/>
      <c r="L80" s="212"/>
      <c r="M80" s="213" t="str">
        <f t="shared" ref="M80:M86" si="20">IF(OR(I80&gt;0,L80&gt;0),IF(E80&gt;0,(I80-L80)*E80,(I80-L80)*D80),"")</f>
        <v/>
      </c>
      <c r="O80" s="172">
        <f t="shared" ref="O80:O86" si="21">IF(E80&gt;0,I80*E80,I80*D80)</f>
        <v>0</v>
      </c>
      <c r="P80" s="172">
        <f t="shared" ref="P80:P86" si="22">IF(E80&gt;0,L80*E80,L80*D80)</f>
        <v>0</v>
      </c>
    </row>
    <row r="81" spans="1:16" ht="13.5" thickBot="1" x14ac:dyDescent="0.25">
      <c r="A81" s="204" t="s">
        <v>59</v>
      </c>
      <c r="B81" s="205" t="s">
        <v>58</v>
      </c>
      <c r="C81" s="206" t="s">
        <v>239</v>
      </c>
      <c r="D81" s="238">
        <v>39</v>
      </c>
      <c r="E81" s="208"/>
      <c r="F81" s="242" t="s">
        <v>308</v>
      </c>
      <c r="G81" s="210">
        <f t="shared" si="18"/>
        <v>0</v>
      </c>
      <c r="H81" s="211"/>
      <c r="I81" s="212"/>
      <c r="J81" s="213" t="str">
        <f t="shared" si="19"/>
        <v/>
      </c>
      <c r="K81" s="4"/>
      <c r="L81" s="212"/>
      <c r="M81" s="213" t="str">
        <f t="shared" si="20"/>
        <v/>
      </c>
      <c r="O81" s="172">
        <f t="shared" si="21"/>
        <v>0</v>
      </c>
      <c r="P81" s="172">
        <f t="shared" si="22"/>
        <v>0</v>
      </c>
    </row>
    <row r="82" spans="1:16" ht="13.5" thickBot="1" x14ac:dyDescent="0.25">
      <c r="A82" s="204" t="s">
        <v>60</v>
      </c>
      <c r="B82" s="205" t="s">
        <v>58</v>
      </c>
      <c r="C82" s="206" t="s">
        <v>240</v>
      </c>
      <c r="D82" s="207">
        <v>32</v>
      </c>
      <c r="E82" s="208"/>
      <c r="F82" s="242" t="s">
        <v>309</v>
      </c>
      <c r="G82" s="210">
        <f t="shared" si="18"/>
        <v>0</v>
      </c>
      <c r="H82" s="211"/>
      <c r="I82" s="212"/>
      <c r="J82" s="213" t="str">
        <f t="shared" si="19"/>
        <v/>
      </c>
      <c r="K82" s="4"/>
      <c r="L82" s="212"/>
      <c r="M82" s="213" t="str">
        <f t="shared" si="20"/>
        <v/>
      </c>
      <c r="O82" s="172">
        <f t="shared" si="21"/>
        <v>0</v>
      </c>
      <c r="P82" s="172">
        <f t="shared" si="22"/>
        <v>0</v>
      </c>
    </row>
    <row r="83" spans="1:16" ht="13.5" thickBot="1" x14ac:dyDescent="0.25">
      <c r="A83" s="204" t="s">
        <v>61</v>
      </c>
      <c r="B83" s="205" t="s">
        <v>58</v>
      </c>
      <c r="C83" s="206" t="s">
        <v>240</v>
      </c>
      <c r="D83" s="207">
        <v>32</v>
      </c>
      <c r="E83" s="208"/>
      <c r="F83" s="242" t="s">
        <v>62</v>
      </c>
      <c r="G83" s="210">
        <f t="shared" si="18"/>
        <v>0</v>
      </c>
      <c r="H83" s="211"/>
      <c r="I83" s="212"/>
      <c r="J83" s="213" t="str">
        <f t="shared" si="19"/>
        <v/>
      </c>
      <c r="K83" s="4"/>
      <c r="L83" s="212"/>
      <c r="M83" s="213" t="str">
        <f t="shared" si="20"/>
        <v/>
      </c>
      <c r="O83" s="172">
        <f t="shared" si="21"/>
        <v>0</v>
      </c>
      <c r="P83" s="172">
        <f t="shared" si="22"/>
        <v>0</v>
      </c>
    </row>
    <row r="84" spans="1:16" ht="13.5" thickBot="1" x14ac:dyDescent="0.25">
      <c r="A84" s="204" t="s">
        <v>63</v>
      </c>
      <c r="B84" s="205" t="s">
        <v>58</v>
      </c>
      <c r="C84" s="206" t="s">
        <v>240</v>
      </c>
      <c r="D84" s="207">
        <v>32</v>
      </c>
      <c r="E84" s="208"/>
      <c r="F84" s="242" t="s">
        <v>62</v>
      </c>
      <c r="G84" s="210">
        <f t="shared" si="18"/>
        <v>0</v>
      </c>
      <c r="H84" s="211"/>
      <c r="I84" s="212"/>
      <c r="J84" s="213" t="str">
        <f t="shared" si="19"/>
        <v/>
      </c>
      <c r="K84" s="4"/>
      <c r="L84" s="212"/>
      <c r="M84" s="213" t="str">
        <f t="shared" si="20"/>
        <v/>
      </c>
      <c r="O84" s="172">
        <f t="shared" si="21"/>
        <v>0</v>
      </c>
      <c r="P84" s="172">
        <f t="shared" si="22"/>
        <v>0</v>
      </c>
    </row>
    <row r="85" spans="1:16" ht="13.5" thickBot="1" x14ac:dyDescent="0.25">
      <c r="A85" s="204" t="s">
        <v>64</v>
      </c>
      <c r="B85" s="205" t="s">
        <v>58</v>
      </c>
      <c r="C85" s="237" t="s">
        <v>241</v>
      </c>
      <c r="D85" s="207">
        <v>248</v>
      </c>
      <c r="E85" s="208"/>
      <c r="F85" s="242" t="s">
        <v>311</v>
      </c>
      <c r="G85" s="210">
        <f t="shared" si="18"/>
        <v>0</v>
      </c>
      <c r="H85" s="211"/>
      <c r="I85" s="212"/>
      <c r="J85" s="213" t="str">
        <f t="shared" si="19"/>
        <v/>
      </c>
      <c r="K85" s="4"/>
      <c r="L85" s="212"/>
      <c r="M85" s="213" t="str">
        <f t="shared" si="20"/>
        <v/>
      </c>
      <c r="O85" s="172">
        <f t="shared" si="21"/>
        <v>0</v>
      </c>
      <c r="P85" s="172">
        <f t="shared" si="22"/>
        <v>0</v>
      </c>
    </row>
    <row r="86" spans="1:16" ht="13.5" thickBot="1" x14ac:dyDescent="0.25">
      <c r="A86" s="204" t="s">
        <v>65</v>
      </c>
      <c r="B86" s="205" t="s">
        <v>58</v>
      </c>
      <c r="C86" s="206">
        <v>81</v>
      </c>
      <c r="D86" s="207">
        <v>81</v>
      </c>
      <c r="E86" s="208"/>
      <c r="F86" s="242" t="s">
        <v>310</v>
      </c>
      <c r="G86" s="210">
        <f t="shared" si="18"/>
        <v>0</v>
      </c>
      <c r="H86" s="211"/>
      <c r="I86" s="212"/>
      <c r="J86" s="213" t="str">
        <f t="shared" si="19"/>
        <v/>
      </c>
      <c r="K86" s="4"/>
      <c r="L86" s="212"/>
      <c r="M86" s="213" t="str">
        <f t="shared" si="20"/>
        <v/>
      </c>
      <c r="O86" s="172">
        <f t="shared" si="21"/>
        <v>0</v>
      </c>
      <c r="P86" s="172">
        <f t="shared" si="22"/>
        <v>0</v>
      </c>
    </row>
    <row r="87" spans="1:16" ht="26.25" thickBot="1" x14ac:dyDescent="0.25">
      <c r="A87" s="204" t="s">
        <v>200</v>
      </c>
      <c r="B87" s="205" t="s">
        <v>7</v>
      </c>
      <c r="C87" s="237" t="s">
        <v>242</v>
      </c>
      <c r="D87" s="207">
        <v>1898</v>
      </c>
      <c r="E87" s="208"/>
      <c r="F87" s="242" t="s">
        <v>312</v>
      </c>
      <c r="G87" s="210">
        <f t="shared" si="18"/>
        <v>0</v>
      </c>
      <c r="H87" s="211"/>
      <c r="I87" s="212"/>
      <c r="J87" s="213" t="str">
        <f>IF(AND(ISNUMBER(L87),OR(L87&lt;&gt;0,L87&lt;&gt;"")),IF(AND(ISNUMBER(I87),OR(I87&lt;&gt;0,I87&lt;&gt;"")),IF(E87&gt;0,E87*G87*I87,I87*D87*G87+6036),""),IF(AND(ISNUMBER(I87),OR(I87&lt;&gt;0,I87&lt;&gt;"")),IF(E87&gt;0,IF(H87&gt;0,E87*H87*I87,E87*G87*I87),IF(H87&gt;0,I87*D87*H87,I87*D87*G87+6036)),""))</f>
        <v/>
      </c>
      <c r="K87" s="4"/>
      <c r="L87" s="212"/>
      <c r="M87" s="213" t="str">
        <f>IF(AND(I87&gt;0,L87&gt;0),IF(E87&gt;0,(I87-L87)*E87,(I87-L87)*D87),IF(AND(I87&gt;0,L87=0),(I87-L87)*D87+6036,IF(AND(I87=0,L87&gt;0),(I87-L87)*D87-6036,"")))</f>
        <v/>
      </c>
      <c r="O87" s="172">
        <f>IF(I87&gt;0,IF(E87&gt;0,I87*E87,I87*D87+6036),0)</f>
        <v>0</v>
      </c>
      <c r="P87" s="172">
        <f>IF(L87&gt;0,IF(E87&gt;0,L87*E87,L87*D87+6036),0)</f>
        <v>0</v>
      </c>
    </row>
    <row r="88" spans="1:16" ht="26.25" thickBot="1" x14ac:dyDescent="0.25">
      <c r="A88" s="204" t="s">
        <v>201</v>
      </c>
      <c r="B88" s="205" t="s">
        <v>7</v>
      </c>
      <c r="C88" s="237" t="s">
        <v>243</v>
      </c>
      <c r="D88" s="207">
        <v>15050</v>
      </c>
      <c r="E88" s="208"/>
      <c r="F88" s="242"/>
      <c r="G88" s="210">
        <f t="shared" si="18"/>
        <v>0</v>
      </c>
      <c r="H88" s="211"/>
      <c r="I88" s="212"/>
      <c r="J88" s="213" t="str">
        <f>IF(AND(ISNUMBER(L88),OR(L88&lt;&gt;0,L88&lt;&gt;"")),IF(AND(ISNUMBER(I88),OR(I88&lt;&gt;0,I88&lt;&gt;"")),IF(E88&gt;0,E88*G88*I88,I88*D88*G88+6186),""),IF(AND(ISNUMBER(I88),OR(I88&lt;&gt;0,I88&lt;&gt;"")),IF(E88&gt;0,IF(H88&gt;0,E88*H88*I88,E88*G88*I88),IF(H88&gt;0,I88*D88*H88,I88*D88*G88+6186)),""))</f>
        <v/>
      </c>
      <c r="K88" s="4"/>
      <c r="L88" s="212"/>
      <c r="M88" s="213" t="str">
        <f>IF(AND(I88&gt;0,L88&gt;0),IF(E88&gt;0,(I88-L88)*E88,(I88-L88)*D88),IF(AND(I88&gt;0,L88=0),(I88-L88)*D88+6186,IF(AND(I88=0,L88&gt;0),(I88-L88)*D88-6186,"")))</f>
        <v/>
      </c>
      <c r="O88" s="172">
        <f>IF(I88&gt;0,IF(E88&gt;0,I88*E88,I88*D88+6186),0)</f>
        <v>0</v>
      </c>
      <c r="P88" s="172">
        <f>IF(L88&gt;0,IF(E88&gt;0,L88*E88,L88*D88+6186),0)</f>
        <v>0</v>
      </c>
    </row>
    <row r="89" spans="1:16" ht="26.25" thickBot="1" x14ac:dyDescent="0.25">
      <c r="A89" s="204" t="s">
        <v>138</v>
      </c>
      <c r="B89" s="205" t="s">
        <v>7</v>
      </c>
      <c r="C89" s="237" t="s">
        <v>244</v>
      </c>
      <c r="D89" s="207">
        <v>381</v>
      </c>
      <c r="E89" s="208"/>
      <c r="F89" s="242"/>
      <c r="G89" s="210">
        <f t="shared" si="18"/>
        <v>0</v>
      </c>
      <c r="H89" s="211"/>
      <c r="I89" s="212"/>
      <c r="J89" s="213" t="str">
        <f>IF(AND(ISNUMBER(L89),OR(L89&lt;&gt;0,L89&lt;&gt;"")),IF(AND(ISNUMBER(I89),OR(I89&lt;&gt;0,I89&lt;&gt;"")),IF(E89&gt;0,E89*G89*I89,I89*D89*G89+6186),""),IF(AND(ISNUMBER(I89),OR(I89&lt;&gt;0,I89&lt;&gt;"")),IF(E89&gt;0,IF(H89&gt;0,E89*H89*I89,E89*G89*I89),IF(H89&gt;0,I89*D89*H89,I89*D89*G89+6186)),""))</f>
        <v/>
      </c>
      <c r="K89" s="4"/>
      <c r="L89" s="212"/>
      <c r="M89" s="213" t="str">
        <f>IF(AND(I89&gt;0,L89&gt;0),IF(E89&gt;0,(I89-L89)*E89,(I89-L89)*D89),IF(AND(I89&gt;0,L89=0),(I89-L89)*D89+6186,IF(AND(I89=0,L89&gt;0),(I89-L89)*D89-6186,"")))</f>
        <v/>
      </c>
      <c r="O89" s="172">
        <f>IF(I89&gt;0,IF(E89&gt;0,I89*E89,I89*D89+6186),0)</f>
        <v>0</v>
      </c>
      <c r="P89" s="172">
        <f>IF(L89&gt;0,IF(E89&gt;0,L89*E89,L89*D89+6186),0)</f>
        <v>0</v>
      </c>
    </row>
    <row r="90" spans="1:16" ht="13.5" thickBot="1" x14ac:dyDescent="0.25">
      <c r="A90" s="226" t="s">
        <v>66</v>
      </c>
      <c r="B90" s="173"/>
      <c r="C90" s="227"/>
      <c r="D90" s="228"/>
      <c r="E90" s="229"/>
      <c r="F90" s="184"/>
      <c r="G90" s="230"/>
      <c r="H90" s="231"/>
      <c r="I90" s="232"/>
      <c r="J90" s="233"/>
      <c r="K90" s="4"/>
      <c r="L90" s="234"/>
      <c r="M90" s="235"/>
    </row>
    <row r="91" spans="1:16" ht="13.5" thickBot="1" x14ac:dyDescent="0.25">
      <c r="A91" s="243" t="s">
        <v>89</v>
      </c>
      <c r="B91" s="205" t="s">
        <v>7</v>
      </c>
      <c r="C91" s="206" t="s">
        <v>330</v>
      </c>
      <c r="D91" s="207">
        <v>-570</v>
      </c>
      <c r="E91" s="208"/>
      <c r="F91" s="242" t="s">
        <v>334</v>
      </c>
      <c r="G91" s="210" t="s">
        <v>169</v>
      </c>
      <c r="H91" s="211"/>
      <c r="I91" s="212"/>
      <c r="J91" s="213" t="str">
        <f>IF(AND(ISNUMBER(L91),OR(L91&lt;&gt;0,L91&lt;&gt;"")),IF(AND(ISNUMBER(I91),OR(I91&lt;&gt;0,I91&lt;&gt;"")),IF(E91&gt;0,E91*I91,I91*D91),""),IF(AND(ISNUMBER(I91),OR(I91&lt;&gt;0,I91&lt;&gt;"")),IF(E91&gt;0,IF(H91&gt;0,E91*H91*I91,E91*I91),IF(H91&gt;0,I91*D91*H91,I91*D91)),""))</f>
        <v/>
      </c>
      <c r="K91" s="4"/>
      <c r="L91" s="212"/>
      <c r="M91" s="213" t="str">
        <f>IF(OR(I91&gt;0,L91&gt;0),IF(E91&gt;0,(I91+L91)*E91,(I91+L91)*D91),"")</f>
        <v/>
      </c>
      <c r="O91" s="172">
        <f>IF(E91&gt;0,ABS(I91*E91),ABS(I91*D91))</f>
        <v>0</v>
      </c>
      <c r="P91" s="172">
        <f>IF(E91&gt;0,ABS(L91*E91),ABS(L91*D91))</f>
        <v>0</v>
      </c>
    </row>
    <row r="92" spans="1:16" ht="13.5" thickBot="1" x14ac:dyDescent="0.25">
      <c r="A92" s="243" t="s">
        <v>90</v>
      </c>
      <c r="B92" s="205" t="s">
        <v>7</v>
      </c>
      <c r="C92" s="206" t="s">
        <v>331</v>
      </c>
      <c r="D92" s="207">
        <v>-821</v>
      </c>
      <c r="E92" s="208"/>
      <c r="F92" s="242" t="s">
        <v>334</v>
      </c>
      <c r="G92" s="210" t="s">
        <v>169</v>
      </c>
      <c r="H92" s="211"/>
      <c r="I92" s="212"/>
      <c r="J92" s="213" t="str">
        <f>IF(AND(ISNUMBER(L92),OR(L92&lt;&gt;0,L92&lt;&gt;"")),IF(AND(ISNUMBER(I92),OR(I92&lt;&gt;0,I92&lt;&gt;"")),IF(E92&gt;0,E92*I92,I92*D92),""),IF(AND(ISNUMBER(I92),OR(I92&lt;&gt;0,I92&lt;&gt;"")),IF(E92&gt;0,IF(H92&gt;0,E92*H92*I92,E92*I92),IF(H92&gt;0,I92*D92*H92,I92*D92)),""))</f>
        <v/>
      </c>
      <c r="K92" s="4"/>
      <c r="L92" s="212"/>
      <c r="M92" s="213" t="str">
        <f>IF(OR(I92&gt;0,L92&gt;0),IF(E92&gt;0,(I92+L92)*E92,(I92+L92)*D92),"")</f>
        <v/>
      </c>
      <c r="O92" s="172">
        <f>IF(E92&gt;0,ABS(I92*E92),ABS(I92*D92))</f>
        <v>0</v>
      </c>
      <c r="P92" s="172">
        <f>IF(E92&gt;0,ABS(L92*E92),ABS(L92*D92))</f>
        <v>0</v>
      </c>
    </row>
    <row r="93" spans="1:16" ht="13.5" thickBot="1" x14ac:dyDescent="0.25">
      <c r="A93" s="243" t="s">
        <v>91</v>
      </c>
      <c r="B93" s="205" t="s">
        <v>7</v>
      </c>
      <c r="C93" s="206" t="s">
        <v>332</v>
      </c>
      <c r="D93" s="207">
        <v>-2282</v>
      </c>
      <c r="E93" s="208"/>
      <c r="F93" s="242" t="s">
        <v>334</v>
      </c>
      <c r="G93" s="210" t="s">
        <v>169</v>
      </c>
      <c r="H93" s="211"/>
      <c r="I93" s="212"/>
      <c r="J93" s="213" t="str">
        <f>IF(AND(ISNUMBER(L93),OR(L93&lt;&gt;0,L93&lt;&gt;"")),IF(AND(ISNUMBER(I93),OR(I93&lt;&gt;0,I93&lt;&gt;"")),IF(E93&gt;0,E93*I93,I93*D93),""),IF(AND(ISNUMBER(I93),OR(I93&lt;&gt;0,I93&lt;&gt;"")),IF(E93&gt;0,IF(H93&gt;0,E93*H93*I93,E93*I93),IF(H93&gt;0,I93*D93*H93,I93*D93)),""))</f>
        <v/>
      </c>
      <c r="K93" s="4"/>
      <c r="L93" s="212"/>
      <c r="M93" s="213" t="str">
        <f>IF(OR(I93&gt;0,L93&gt;0),IF(E93&gt;0,(I93+L93)*E93,(I93+L93)*D93),"")</f>
        <v/>
      </c>
      <c r="O93" s="172">
        <f>IF(E93&gt;0,ABS(I93*E93),ABS(I93*D93))</f>
        <v>0</v>
      </c>
      <c r="P93" s="172">
        <f>IF(E93&gt;0,ABS(L93*E93),ABS(L93*D93))</f>
        <v>0</v>
      </c>
    </row>
    <row r="94" spans="1:16" ht="13.5" thickBot="1" x14ac:dyDescent="0.25">
      <c r="A94" s="243" t="s">
        <v>92</v>
      </c>
      <c r="B94" s="205" t="s">
        <v>7</v>
      </c>
      <c r="C94" s="206" t="s">
        <v>333</v>
      </c>
      <c r="D94" s="207">
        <v>-3423</v>
      </c>
      <c r="E94" s="208"/>
      <c r="F94" s="242" t="s">
        <v>334</v>
      </c>
      <c r="G94" s="210" t="s">
        <v>169</v>
      </c>
      <c r="H94" s="211"/>
      <c r="I94" s="212"/>
      <c r="J94" s="213" t="str">
        <f>IF(AND(ISNUMBER(L94),OR(L94&lt;&gt;0,L94&lt;&gt;"")),IF(AND(ISNUMBER(I94),OR(I94&lt;&gt;0,I94&lt;&gt;"")),IF(E94&gt;0,E94*I94,I94*D94),""),IF(AND(ISNUMBER(I94),OR(I94&lt;&gt;0,I94&lt;&gt;"")),IF(E94&gt;0,IF(H94&gt;0,E94*H94*I94,E94*I94),IF(H94&gt;0,I94*D94*H94,I94*D94)),""))</f>
        <v/>
      </c>
      <c r="K94" s="4"/>
      <c r="L94" s="212"/>
      <c r="M94" s="213" t="str">
        <f>IF(OR(I94&gt;0,L94&gt;0),IF(E94&gt;0,(I94+L94)*E94,(I94+L94)*D94),"")</f>
        <v/>
      </c>
      <c r="O94" s="172">
        <f>IF(E94&gt;0,ABS(I94*E94),ABS(I94*D94))</f>
        <v>0</v>
      </c>
      <c r="P94" s="172">
        <f>IF(E94&gt;0,ABS(L94*E94),ABS(L94*D94))</f>
        <v>0</v>
      </c>
    </row>
    <row r="95" spans="1:16" ht="13.5" thickBot="1" x14ac:dyDescent="0.25">
      <c r="A95" s="185"/>
      <c r="B95" s="186"/>
      <c r="C95" s="187"/>
      <c r="D95" s="188"/>
      <c r="E95" s="188"/>
      <c r="H95" s="253" t="s">
        <v>68</v>
      </c>
      <c r="I95" s="351">
        <f>SUM(J80:J89,J91:J94)+SUMIF($Q$97:$Q$106,6,$J$97:$J$106)</f>
        <v>0</v>
      </c>
      <c r="J95" s="352"/>
      <c r="K95" s="250"/>
      <c r="L95" s="251"/>
      <c r="M95" s="252">
        <f>SUM(M91:M94,M80:M89)+SUMIF($Q$97:$Q$106,6,$M$97:$M$106)</f>
        <v>0</v>
      </c>
    </row>
    <row r="96" spans="1:16" ht="96.75" thickBot="1" x14ac:dyDescent="0.25">
      <c r="A96" s="306" t="s">
        <v>339</v>
      </c>
      <c r="B96" s="200" t="s">
        <v>0</v>
      </c>
      <c r="C96" s="200" t="s">
        <v>1</v>
      </c>
      <c r="D96" s="236"/>
      <c r="E96" s="200" t="s">
        <v>338</v>
      </c>
      <c r="F96" s="236" t="s">
        <v>337</v>
      </c>
      <c r="G96" s="300" t="s">
        <v>314</v>
      </c>
      <c r="H96" s="300" t="s">
        <v>98</v>
      </c>
      <c r="I96" s="200" t="s">
        <v>156</v>
      </c>
      <c r="J96" s="200" t="s">
        <v>67</v>
      </c>
      <c r="K96" s="249"/>
      <c r="L96" s="200" t="s">
        <v>157</v>
      </c>
      <c r="M96" s="200" t="s">
        <v>158</v>
      </c>
      <c r="N96" s="200" t="s">
        <v>2</v>
      </c>
    </row>
    <row r="97" spans="1:17" ht="13.5" thickBot="1" x14ac:dyDescent="0.25">
      <c r="A97" s="244"/>
      <c r="B97" s="245"/>
      <c r="C97" s="246"/>
      <c r="D97" s="247">
        <f t="shared" ref="D97:D106" si="23">C97</f>
        <v>0</v>
      </c>
      <c r="E97" s="248"/>
      <c r="F97" s="304"/>
      <c r="G97" s="210">
        <f t="shared" ref="G97:G106" si="24">IF(L97&gt;0,IF(I97&gt;0,(I97-L97)/I97,0),IF(L97="",0,IF(I97&gt;0,I97/I97,0)))</f>
        <v>0</v>
      </c>
      <c r="H97" s="211"/>
      <c r="I97" s="212"/>
      <c r="J97" s="213" t="str">
        <f t="shared" ref="J97:J106" si="25">IF(AND(ISNUMBER(L97),OR(L97&lt;&gt;0,L97&lt;&gt;"")),IF(AND(ISNUMBER(I97),OR(I97&lt;&gt;0,I97&lt;&gt;"")),I97*D97*G97,""),IF(AND(ISNUMBER(I97),OR(I97&lt;&gt;0,I97&lt;&gt;"")),IF(H97&gt;0,I97*D97*H97,I97*D97*G97),""))</f>
        <v/>
      </c>
      <c r="K97" s="4"/>
      <c r="L97" s="212"/>
      <c r="M97" s="213" t="str">
        <f t="shared" ref="M97:M106" si="26">IF(OR(I97&gt;0,L97&gt;0),(I97-L97)*D97,"")</f>
        <v/>
      </c>
      <c r="N97" s="213"/>
      <c r="O97" s="172">
        <f t="shared" ref="O97:O106" si="27">I97*C97</f>
        <v>0</v>
      </c>
      <c r="P97" s="172">
        <f t="shared" ref="P97:P106" si="28">IF(C97&gt;0,L97*C97,L97*D97)</f>
        <v>0</v>
      </c>
      <c r="Q97" s="1">
        <f t="shared" ref="Q97:Q106" si="29">IF(ISNA(VLOOKUP($E97,CostType,18,FALSE)),7,VLOOKUP($E97,CostType,18,FALSE))</f>
        <v>7</v>
      </c>
    </row>
    <row r="98" spans="1:17" ht="13.5" thickBot="1" x14ac:dyDescent="0.25">
      <c r="A98" s="244"/>
      <c r="B98" s="245"/>
      <c r="C98" s="246"/>
      <c r="D98" s="247">
        <f t="shared" si="23"/>
        <v>0</v>
      </c>
      <c r="E98" s="248"/>
      <c r="F98" s="304"/>
      <c r="G98" s="210">
        <f t="shared" si="24"/>
        <v>0</v>
      </c>
      <c r="H98" s="211"/>
      <c r="I98" s="212"/>
      <c r="J98" s="213" t="str">
        <f t="shared" si="25"/>
        <v/>
      </c>
      <c r="K98" s="4"/>
      <c r="L98" s="212"/>
      <c r="M98" s="213" t="str">
        <f t="shared" si="26"/>
        <v/>
      </c>
      <c r="N98" s="213"/>
      <c r="O98" s="172">
        <f t="shared" si="27"/>
        <v>0</v>
      </c>
      <c r="P98" s="172">
        <f t="shared" si="28"/>
        <v>0</v>
      </c>
      <c r="Q98" s="1">
        <f t="shared" si="29"/>
        <v>7</v>
      </c>
    </row>
    <row r="99" spans="1:17" ht="13.5" thickBot="1" x14ac:dyDescent="0.25">
      <c r="A99" s="244"/>
      <c r="B99" s="245"/>
      <c r="C99" s="246"/>
      <c r="D99" s="247">
        <f t="shared" si="23"/>
        <v>0</v>
      </c>
      <c r="E99" s="248"/>
      <c r="F99" s="304"/>
      <c r="G99" s="210">
        <f t="shared" si="24"/>
        <v>0</v>
      </c>
      <c r="H99" s="211"/>
      <c r="I99" s="212"/>
      <c r="J99" s="213" t="str">
        <f t="shared" si="25"/>
        <v/>
      </c>
      <c r="K99" s="4"/>
      <c r="L99" s="212"/>
      <c r="M99" s="213" t="str">
        <f t="shared" si="26"/>
        <v/>
      </c>
      <c r="N99" s="213"/>
      <c r="O99" s="172">
        <f t="shared" si="27"/>
        <v>0</v>
      </c>
      <c r="P99" s="172">
        <f t="shared" si="28"/>
        <v>0</v>
      </c>
      <c r="Q99" s="1">
        <f t="shared" si="29"/>
        <v>7</v>
      </c>
    </row>
    <row r="100" spans="1:17" ht="13.5" thickBot="1" x14ac:dyDescent="0.25">
      <c r="A100" s="244"/>
      <c r="B100" s="245"/>
      <c r="C100" s="246"/>
      <c r="D100" s="247">
        <f t="shared" si="23"/>
        <v>0</v>
      </c>
      <c r="E100" s="248"/>
      <c r="F100" s="304"/>
      <c r="G100" s="210">
        <f t="shared" si="24"/>
        <v>0</v>
      </c>
      <c r="H100" s="211"/>
      <c r="I100" s="212"/>
      <c r="J100" s="213" t="str">
        <f t="shared" si="25"/>
        <v/>
      </c>
      <c r="K100" s="4"/>
      <c r="L100" s="212"/>
      <c r="M100" s="213" t="str">
        <f t="shared" si="26"/>
        <v/>
      </c>
      <c r="N100" s="213"/>
      <c r="O100" s="172">
        <f t="shared" si="27"/>
        <v>0</v>
      </c>
      <c r="P100" s="172">
        <f t="shared" si="28"/>
        <v>0</v>
      </c>
      <c r="Q100" s="1">
        <f t="shared" si="29"/>
        <v>7</v>
      </c>
    </row>
    <row r="101" spans="1:17" ht="13.5" thickBot="1" x14ac:dyDescent="0.25">
      <c r="A101" s="244"/>
      <c r="B101" s="245"/>
      <c r="C101" s="246"/>
      <c r="D101" s="247">
        <f t="shared" si="23"/>
        <v>0</v>
      </c>
      <c r="E101" s="248"/>
      <c r="F101" s="304"/>
      <c r="G101" s="210">
        <f t="shared" si="24"/>
        <v>0</v>
      </c>
      <c r="H101" s="211"/>
      <c r="I101" s="212"/>
      <c r="J101" s="213" t="str">
        <f t="shared" si="25"/>
        <v/>
      </c>
      <c r="K101" s="4"/>
      <c r="L101" s="212"/>
      <c r="M101" s="213" t="str">
        <f t="shared" si="26"/>
        <v/>
      </c>
      <c r="N101" s="213"/>
      <c r="O101" s="172">
        <f t="shared" si="27"/>
        <v>0</v>
      </c>
      <c r="P101" s="172">
        <f t="shared" si="28"/>
        <v>0</v>
      </c>
      <c r="Q101" s="1">
        <f t="shared" si="29"/>
        <v>7</v>
      </c>
    </row>
    <row r="102" spans="1:17" ht="13.5" thickBot="1" x14ac:dyDescent="0.25">
      <c r="A102" s="244"/>
      <c r="B102" s="245"/>
      <c r="C102" s="246"/>
      <c r="D102" s="247">
        <f t="shared" si="23"/>
        <v>0</v>
      </c>
      <c r="E102" s="248"/>
      <c r="F102" s="304"/>
      <c r="G102" s="210">
        <f t="shared" si="24"/>
        <v>0</v>
      </c>
      <c r="H102" s="211"/>
      <c r="I102" s="212"/>
      <c r="J102" s="213" t="str">
        <f t="shared" si="25"/>
        <v/>
      </c>
      <c r="K102" s="4"/>
      <c r="L102" s="212"/>
      <c r="M102" s="213" t="str">
        <f t="shared" si="26"/>
        <v/>
      </c>
      <c r="N102" s="213"/>
      <c r="O102" s="172">
        <f t="shared" si="27"/>
        <v>0</v>
      </c>
      <c r="P102" s="172">
        <f t="shared" si="28"/>
        <v>0</v>
      </c>
      <c r="Q102" s="1">
        <f t="shared" si="29"/>
        <v>7</v>
      </c>
    </row>
    <row r="103" spans="1:17" ht="13.5" thickBot="1" x14ac:dyDescent="0.25">
      <c r="A103" s="244"/>
      <c r="B103" s="245"/>
      <c r="C103" s="246"/>
      <c r="D103" s="247">
        <f t="shared" si="23"/>
        <v>0</v>
      </c>
      <c r="E103" s="248"/>
      <c r="F103" s="304"/>
      <c r="G103" s="210">
        <f t="shared" si="24"/>
        <v>0</v>
      </c>
      <c r="H103" s="211"/>
      <c r="I103" s="212"/>
      <c r="J103" s="213" t="str">
        <f t="shared" si="25"/>
        <v/>
      </c>
      <c r="K103" s="4"/>
      <c r="L103" s="212"/>
      <c r="M103" s="213" t="str">
        <f t="shared" si="26"/>
        <v/>
      </c>
      <c r="N103" s="213"/>
      <c r="O103" s="172">
        <f t="shared" si="27"/>
        <v>0</v>
      </c>
      <c r="P103" s="172">
        <f t="shared" si="28"/>
        <v>0</v>
      </c>
      <c r="Q103" s="1">
        <f t="shared" si="29"/>
        <v>7</v>
      </c>
    </row>
    <row r="104" spans="1:17" ht="13.5" thickBot="1" x14ac:dyDescent="0.25">
      <c r="A104" s="244"/>
      <c r="B104" s="245"/>
      <c r="C104" s="246"/>
      <c r="D104" s="247">
        <f t="shared" si="23"/>
        <v>0</v>
      </c>
      <c r="E104" s="248"/>
      <c r="F104" s="304"/>
      <c r="G104" s="210">
        <f t="shared" si="24"/>
        <v>0</v>
      </c>
      <c r="H104" s="211"/>
      <c r="I104" s="212"/>
      <c r="J104" s="213" t="str">
        <f t="shared" si="25"/>
        <v/>
      </c>
      <c r="K104" s="4"/>
      <c r="L104" s="212"/>
      <c r="M104" s="213" t="str">
        <f t="shared" si="26"/>
        <v/>
      </c>
      <c r="N104" s="213"/>
      <c r="O104" s="172">
        <f t="shared" si="27"/>
        <v>0</v>
      </c>
      <c r="P104" s="172">
        <f t="shared" si="28"/>
        <v>0</v>
      </c>
      <c r="Q104" s="1">
        <f t="shared" si="29"/>
        <v>7</v>
      </c>
    </row>
    <row r="105" spans="1:17" ht="13.5" thickBot="1" x14ac:dyDescent="0.25">
      <c r="A105" s="244"/>
      <c r="B105" s="245"/>
      <c r="C105" s="246"/>
      <c r="D105" s="247">
        <f t="shared" si="23"/>
        <v>0</v>
      </c>
      <c r="E105" s="248"/>
      <c r="F105" s="304"/>
      <c r="G105" s="210">
        <f t="shared" si="24"/>
        <v>0</v>
      </c>
      <c r="H105" s="211"/>
      <c r="I105" s="212"/>
      <c r="J105" s="213" t="str">
        <f t="shared" si="25"/>
        <v/>
      </c>
      <c r="K105" s="4"/>
      <c r="L105" s="212"/>
      <c r="M105" s="213" t="str">
        <f t="shared" si="26"/>
        <v/>
      </c>
      <c r="N105" s="213"/>
      <c r="O105" s="172">
        <f t="shared" si="27"/>
        <v>0</v>
      </c>
      <c r="P105" s="172">
        <f t="shared" si="28"/>
        <v>0</v>
      </c>
      <c r="Q105" s="1">
        <f t="shared" si="29"/>
        <v>7</v>
      </c>
    </row>
    <row r="106" spans="1:17" ht="13.5" thickBot="1" x14ac:dyDescent="0.25">
      <c r="A106" s="244"/>
      <c r="B106" s="245"/>
      <c r="C106" s="246"/>
      <c r="D106" s="247">
        <f t="shared" si="23"/>
        <v>0</v>
      </c>
      <c r="E106" s="248"/>
      <c r="F106" s="304"/>
      <c r="G106" s="210">
        <f t="shared" si="24"/>
        <v>0</v>
      </c>
      <c r="H106" s="211"/>
      <c r="I106" s="212"/>
      <c r="J106" s="213" t="str">
        <f t="shared" si="25"/>
        <v/>
      </c>
      <c r="K106" s="4"/>
      <c r="L106" s="212"/>
      <c r="M106" s="213" t="str">
        <f t="shared" si="26"/>
        <v/>
      </c>
      <c r="N106" s="213"/>
      <c r="O106" s="172">
        <f t="shared" si="27"/>
        <v>0</v>
      </c>
      <c r="P106" s="172">
        <f t="shared" si="28"/>
        <v>0</v>
      </c>
      <c r="Q106" s="1">
        <f t="shared" si="29"/>
        <v>7</v>
      </c>
    </row>
    <row r="107" spans="1:17" ht="13.5" thickBot="1" x14ac:dyDescent="0.25">
      <c r="H107" s="253" t="s">
        <v>68</v>
      </c>
      <c r="I107" s="351">
        <f>SUMIF($Q$97:$Q$106,7,$J$97:$J$106)</f>
        <v>0</v>
      </c>
      <c r="J107" s="352"/>
      <c r="K107" s="250"/>
      <c r="L107" s="251"/>
      <c r="M107" s="252">
        <f>SUMIF($Q$97:$Q$106,7,$M$97:$M$106)</f>
        <v>0</v>
      </c>
      <c r="O107" s="172">
        <f>SUM(O7:O106)</f>
        <v>0</v>
      </c>
      <c r="P107" s="172">
        <f>SUM(P7:P106)</f>
        <v>0</v>
      </c>
    </row>
  </sheetData>
  <sheetProtection password="D78B" sheet="1" scenarios="1"/>
  <mergeCells count="10">
    <mergeCell ref="I107:J107"/>
    <mergeCell ref="I71:J71"/>
    <mergeCell ref="I78:J78"/>
    <mergeCell ref="I95:J95"/>
    <mergeCell ref="I51:J51"/>
    <mergeCell ref="G1:H1"/>
    <mergeCell ref="I1:J1"/>
    <mergeCell ref="G3:H3"/>
    <mergeCell ref="I26:J26"/>
    <mergeCell ref="I36:J36"/>
  </mergeCells>
  <phoneticPr fontId="4" type="noConversion"/>
  <conditionalFormatting sqref="I107:J107 N97:N106 M97:M107 M80:M89 M91:M95 M28:M36 M7:M26 I95:J95 M73:M78 M38:M51 M53:M71">
    <cfRule type="cellIs" dxfId="3" priority="1" stopIfTrue="1" operator="lessThan">
      <formula>0</formula>
    </cfRule>
  </conditionalFormatting>
  <conditionalFormatting sqref="I1:J1">
    <cfRule type="cellIs" dxfId="2" priority="2" stopIfTrue="1" operator="lessThan">
      <formula>0</formula>
    </cfRule>
  </conditionalFormatting>
  <dataValidations count="13">
    <dataValidation type="decimal" allowBlank="1" showInputMessage="1" showErrorMessage="1" errorTitle="Percentage error" error="Please enter a value between 0 and 100%" sqref="H97:H106 H91:H94 H80:H89 H73:H77 H38:H50 H53:H70 H28:H35 H7:H25">
      <formula1>0</formula1>
      <formula2>1</formula2>
    </dataValidation>
    <dataValidation type="list" allowBlank="1" showInputMessage="1" showErrorMessage="1" sqref="B97:B106">
      <formula1>organisation</formula1>
    </dataValidation>
    <dataValidation type="decimal" operator="greaterThanOrEqual" allowBlank="1" showInputMessage="1" showErrorMessage="1" sqref="C97:C106">
      <formula1>0</formula1>
    </dataValidation>
    <dataValidation type="whole" operator="greaterThan" allowBlank="1" showInputMessage="1" showErrorMessage="1" sqref="I97:I106 L33:L35 I33 I35">
      <formula1>0</formula1>
    </dataValidation>
    <dataValidation type="list" allowBlank="1" showInputMessage="1" showErrorMessage="1" sqref="E97:E106">
      <formula1>category</formula1>
    </dataValidation>
    <dataValidation type="decimal" allowBlank="1" showInputMessage="1" showErrorMessage="1" errorTitle="Unit cost error" error="Please enter only numbers between 0 and 100." sqref="I27 I72:I73 I77 I75 I79 I52:I55 I57:I70 I37:I50">
      <formula1>0</formula1>
      <formula2>100</formula2>
    </dataValidation>
    <dataValidation type="decimal" allowBlank="1" showInputMessage="1" showErrorMessage="1" sqref="E80:E94 E38:E50 E53:E70 E28:E35 E7:E25 E73:E77">
      <formula1>1</formula1>
      <formula2>10000000</formula2>
    </dataValidation>
    <dataValidation type="decimal" allowBlank="1" showInputMessage="1" showErrorMessage="1" errorTitle="Unit cost error" error="Please enter only numbers between 0 and 100." sqref="I91:I94 I80:I89 I76 I74 I56">
      <formula1>0</formula1>
      <formula2>1000</formula2>
    </dataValidation>
    <dataValidation type="whole" operator="greaterThanOrEqual" allowBlank="1" showInputMessage="1" showErrorMessage="1" sqref="L73:L77 L80:L89 L91:L94 L38:L50 L53:L70 L28:L32 L7:L25 L97:L106">
      <formula1>0</formula1>
    </dataValidation>
    <dataValidation type="decimal" operator="greaterThan" allowBlank="1" showInputMessage="1" showErrorMessage="1" sqref="I34">
      <formula1>0</formula1>
    </dataValidation>
    <dataValidation type="decimal" allowBlank="1" showInputMessage="1" showErrorMessage="1" error="Please enter a value between 1 and 0" sqref="I29:I31">
      <formula1>0</formula1>
      <formula2>1</formula2>
    </dataValidation>
    <dataValidation type="whole" allowBlank="1" showInputMessage="1" showErrorMessage="1" sqref="I7:I25">
      <formula1>0</formula1>
      <formula2>10000</formula2>
    </dataValidation>
    <dataValidation type="whole" operator="greaterThan" allowBlank="1" showInputMessage="1" showErrorMessage="1" error="Please enter a value between 1 and 0" sqref="I28 I32">
      <formula1>0</formula1>
    </dataValidation>
  </dataValidations>
  <printOptions headings="1"/>
  <pageMargins left="0.74803149606299213" right="0.74803149606299213" top="0.98425196850393704" bottom="0.98425196850393704" header="0.51181102362204722" footer="0.51181102362204722"/>
  <pageSetup paperSize="9" scale="59" orientation="landscape" r:id="rId1"/>
  <headerFooter alignWithMargins="0"/>
  <rowBreaks count="1" manualBreakCount="1">
    <brk id="51" max="16383" man="1"/>
  </rowBreaks>
  <drawing r:id="rId2"/>
  <legacyDrawing r:id="rId3"/>
  <controls>
    <mc:AlternateContent xmlns:mc="http://schemas.openxmlformats.org/markup-compatibility/2006">
      <mc:Choice Requires="x14">
        <control shapeId="226318" r:id="rId4" name="btnHome">
          <controlPr autoLine="0" r:id="rId5">
            <anchor moveWithCells="1">
              <from>
                <xdr:col>0</xdr:col>
                <xdr:colOff>2581275</xdr:colOff>
                <xdr:row>1</xdr:row>
                <xdr:rowOff>57150</xdr:rowOff>
              </from>
              <to>
                <xdr:col>0</xdr:col>
                <xdr:colOff>3114675</xdr:colOff>
                <xdr:row>2</xdr:row>
                <xdr:rowOff>190500</xdr:rowOff>
              </to>
            </anchor>
          </controlPr>
        </control>
      </mc:Choice>
      <mc:Fallback>
        <control shapeId="226318" r:id="rId4" name="btnHome"/>
      </mc:Fallback>
    </mc:AlternateContent>
    <mc:AlternateContent xmlns:mc="http://schemas.openxmlformats.org/markup-compatibility/2006">
      <mc:Choice Requires="x14">
        <control shapeId="226305" r:id="rId6" name="btnClear">
          <controlPr autoLine="0" r:id="rId7">
            <anchor moveWithCells="1">
              <from>
                <xdr:col>0</xdr:col>
                <xdr:colOff>104775</xdr:colOff>
                <xdr:row>4</xdr:row>
                <xdr:rowOff>142875</xdr:rowOff>
              </from>
              <to>
                <xdr:col>0</xdr:col>
                <xdr:colOff>742950</xdr:colOff>
                <xdr:row>4</xdr:row>
                <xdr:rowOff>390525</xdr:rowOff>
              </to>
            </anchor>
          </controlPr>
        </control>
      </mc:Choice>
      <mc:Fallback>
        <control shapeId="226305" r:id="rId6" name="btnClear"/>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4874429DEC7E4FBB60E7249B27952E" ma:contentTypeVersion="7" ma:contentTypeDescription="Create a new document." ma:contentTypeScope="" ma:versionID="520710f072bcff7b02b3c2005885f098">
  <xsd:schema xmlns:xsd="http://www.w3.org/2001/XMLSchema" xmlns:xs="http://www.w3.org/2001/XMLSchema" xmlns:p="http://schemas.microsoft.com/office/2006/metadata/properties" xmlns:ns2="2121b014-8ffa-438b-a763-1ce2ca8908fc" xmlns:ns3="a19a2cd6-2777-4cce-9dc3-699785b65b10" targetNamespace="http://schemas.microsoft.com/office/2006/metadata/properties" ma:root="true" ma:fieldsID="04b785514fd0d0441b988b0eaacf4c4d" ns2:_="" ns3:_="">
    <xsd:import namespace="2121b014-8ffa-438b-a763-1ce2ca8908fc"/>
    <xsd:import namespace="a19a2cd6-2777-4cce-9dc3-699785b65b10"/>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21b014-8ffa-438b-a763-1ce2ca8908f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19a2cd6-2777-4cce-9dc3-699785b65b10"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2121b014-8ffa-438b-a763-1ce2ca8908fc">
      <UserInfo>
        <DisplayName>Sian David</DisplayName>
        <AccountId>45</AccountId>
        <AccountType/>
      </UserInfo>
      <UserInfo>
        <DisplayName>Antony Kendall</DisplayName>
        <AccountId>20</AccountId>
        <AccountType/>
      </UserInfo>
    </SharedWithUsers>
  </documentManagement>
</p:properties>
</file>

<file path=customXml/itemProps1.xml><?xml version="1.0" encoding="utf-8"?>
<ds:datastoreItem xmlns:ds="http://schemas.openxmlformats.org/officeDocument/2006/customXml" ds:itemID="{6121C3B0-BFB1-43BC-B8A5-F119DA2D27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21b014-8ffa-438b-a763-1ce2ca8908fc"/>
    <ds:schemaRef ds:uri="a19a2cd6-2777-4cce-9dc3-699785b65b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AA8A85-365A-4A99-8B74-21C5849D36F0}">
  <ds:schemaRefs>
    <ds:schemaRef ds:uri="http://schemas.microsoft.com/sharepoint/v3/contenttype/forms"/>
  </ds:schemaRefs>
</ds:datastoreItem>
</file>

<file path=customXml/itemProps3.xml><?xml version="1.0" encoding="utf-8"?>
<ds:datastoreItem xmlns:ds="http://schemas.openxmlformats.org/officeDocument/2006/customXml" ds:itemID="{68595475-763B-4E35-8C69-9763232173F0}">
  <ds:schemaRefs>
    <ds:schemaRef ds:uri="http://purl.org/dc/terms/"/>
    <ds:schemaRef ds:uri="http://schemas.openxmlformats.org/package/2006/metadata/core-properties"/>
    <ds:schemaRef ds:uri="2121b014-8ffa-438b-a763-1ce2ca8908fc"/>
    <ds:schemaRef ds:uri="http://schemas.microsoft.com/office/2006/documentManagement/types"/>
    <ds:schemaRef ds:uri="http://schemas.microsoft.com/office/infopath/2007/PartnerControls"/>
    <ds:schemaRef ds:uri="http://purl.org/dc/elements/1.1/"/>
    <ds:schemaRef ds:uri="http://schemas.microsoft.com/office/2006/metadata/properties"/>
    <ds:schemaRef ds:uri="a19a2cd6-2777-4cce-9dc3-699785b65b1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169</vt:i4>
      </vt:variant>
    </vt:vector>
  </HeadingPairs>
  <TitlesOfParts>
    <vt:vector size="179" baseType="lpstr">
      <vt:lpstr>Start</vt:lpstr>
      <vt:lpstr>Delivery Cost</vt:lpstr>
      <vt:lpstr>Costs_master</vt:lpstr>
      <vt:lpstr>Outcomes</vt:lpstr>
      <vt:lpstr>Fam_Data</vt:lpstr>
      <vt:lpstr>Fam Chart</vt:lpstr>
      <vt:lpstr>Case_Data</vt:lpstr>
      <vt:lpstr>Caseload Chart</vt:lpstr>
      <vt:lpstr>FM1_Mother</vt:lpstr>
      <vt:lpstr>FM3_Child A</vt:lpstr>
      <vt:lpstr>_fam1</vt:lpstr>
      <vt:lpstr>_fam10</vt:lpstr>
      <vt:lpstr>_fam2</vt:lpstr>
      <vt:lpstr>_fam3</vt:lpstr>
      <vt:lpstr>_fam4</vt:lpstr>
      <vt:lpstr>_fam5</vt:lpstr>
      <vt:lpstr>_fam6</vt:lpstr>
      <vt:lpstr>_fam7</vt:lpstr>
      <vt:lpstr>_fam8</vt:lpstr>
      <vt:lpstr>_fam9</vt:lpstr>
      <vt:lpstr>_pc1</vt:lpstr>
      <vt:lpstr>agencysavings</vt:lpstr>
      <vt:lpstr>avg_areas</vt:lpstr>
      <vt:lpstr>avg_commsec</vt:lpstr>
      <vt:lpstr>avg_crimasb</vt:lpstr>
      <vt:lpstr>avg_criminal</vt:lpstr>
      <vt:lpstr>avg_domesticviolence</vt:lpstr>
      <vt:lpstr>avg_drug</vt:lpstr>
      <vt:lpstr>avg_education</vt:lpstr>
      <vt:lpstr>avg_fam</vt:lpstr>
      <vt:lpstr>avg_family</vt:lpstr>
      <vt:lpstr>avg_healthcare</vt:lpstr>
      <vt:lpstr>avg_healthservice</vt:lpstr>
      <vt:lpstr>avg_housing</vt:lpstr>
      <vt:lpstr>avg_la</vt:lpstr>
      <vt:lpstr>avg_police</vt:lpstr>
      <vt:lpstr>avg_privatesec</vt:lpstr>
      <vt:lpstr>avg_socialcare</vt:lpstr>
      <vt:lpstr>avg_socialservices</vt:lpstr>
      <vt:lpstr>avg_society</vt:lpstr>
      <vt:lpstr>avg_various</vt:lpstr>
      <vt:lpstr>avg_yot</vt:lpstr>
      <vt:lpstr>caseloadsavings</vt:lpstr>
      <vt:lpstr>casepivotstart</vt:lpstr>
      <vt:lpstr>category</vt:lpstr>
      <vt:lpstr>category_savings</vt:lpstr>
      <vt:lpstr>chkaverage</vt:lpstr>
      <vt:lpstr>FM1_Mother!chkpostint</vt:lpstr>
      <vt:lpstr>'FM3_Child A'!chkpostint</vt:lpstr>
      <vt:lpstr>chkpostint</vt:lpstr>
      <vt:lpstr>costs_annual</vt:lpstr>
      <vt:lpstr>costs_operational</vt:lpstr>
      <vt:lpstr>costs_staff</vt:lpstr>
      <vt:lpstr>costs_universal</vt:lpstr>
      <vt:lpstr>CostType</vt:lpstr>
      <vt:lpstr>FM1_Mother!crimeasb</vt:lpstr>
      <vt:lpstr>'FM3_Child A'!crimeasb</vt:lpstr>
      <vt:lpstr>crimeasb</vt:lpstr>
      <vt:lpstr>FM1_Mother!crimeasbp</vt:lpstr>
      <vt:lpstr>'FM3_Child A'!crimeasbp</vt:lpstr>
      <vt:lpstr>crimeasbp</vt:lpstr>
      <vt:lpstr>cust_start</vt:lpstr>
      <vt:lpstr>FM1_Mother!drugs</vt:lpstr>
      <vt:lpstr>'FM3_Child A'!drugs</vt:lpstr>
      <vt:lpstr>drugs</vt:lpstr>
      <vt:lpstr>FM1_Mother!drugsp</vt:lpstr>
      <vt:lpstr>'FM3_Child A'!drugsp</vt:lpstr>
      <vt:lpstr>drugsp</vt:lpstr>
      <vt:lpstr>FM1_Mother!education</vt:lpstr>
      <vt:lpstr>'FM3_Child A'!education</vt:lpstr>
      <vt:lpstr>education</vt:lpstr>
      <vt:lpstr>FM1_Mother!educationp</vt:lpstr>
      <vt:lpstr>'FM3_Child A'!educationp</vt:lpstr>
      <vt:lpstr>educationp</vt:lpstr>
      <vt:lpstr>FM1_Mother!extralines</vt:lpstr>
      <vt:lpstr>'FM3_Child A'!extralines</vt:lpstr>
      <vt:lpstr>extralines</vt:lpstr>
      <vt:lpstr>FM1_Mother!extralinesp</vt:lpstr>
      <vt:lpstr>'FM3_Child A'!extralinesp</vt:lpstr>
      <vt:lpstr>extralinesp</vt:lpstr>
      <vt:lpstr>FM1_Mother!famtotal</vt:lpstr>
      <vt:lpstr>'FM3_Child A'!famtotal</vt:lpstr>
      <vt:lpstr>famtotal</vt:lpstr>
      <vt:lpstr>fipcost</vt:lpstr>
      <vt:lpstr>FM1_Mother!healthcare</vt:lpstr>
      <vt:lpstr>'FM3_Child A'!healthcare</vt:lpstr>
      <vt:lpstr>healthcare</vt:lpstr>
      <vt:lpstr>FM1_Mother!healthcarep</vt:lpstr>
      <vt:lpstr>'FM3_Child A'!healthcarep</vt:lpstr>
      <vt:lpstr>healthcarep</vt:lpstr>
      <vt:lpstr>FM1_Mother!housing</vt:lpstr>
      <vt:lpstr>'FM3_Child A'!housing</vt:lpstr>
      <vt:lpstr>housing</vt:lpstr>
      <vt:lpstr>FM1_Mother!housingp</vt:lpstr>
      <vt:lpstr>'FM3_Child A'!housingp</vt:lpstr>
      <vt:lpstr>housingp</vt:lpstr>
      <vt:lpstr>FM1_Mother!name</vt:lpstr>
      <vt:lpstr>'FM3_Child A'!name</vt:lpstr>
      <vt:lpstr>name</vt:lpstr>
      <vt:lpstr>numfams_supported</vt:lpstr>
      <vt:lpstr>numyears</vt:lpstr>
      <vt:lpstr>org_savings</vt:lpstr>
      <vt:lpstr>organisation</vt:lpstr>
      <vt:lpstr>parentchild</vt:lpstr>
      <vt:lpstr>FM1_Mother!parenting_programmes</vt:lpstr>
      <vt:lpstr>'FM3_Child A'!parenting_programmes</vt:lpstr>
      <vt:lpstr>parenting_programmes</vt:lpstr>
      <vt:lpstr>FM1_Mother!perc_risk</vt:lpstr>
      <vt:lpstr>'FM3_Child A'!perc_risk</vt:lpstr>
      <vt:lpstr>perc_risk</vt:lpstr>
      <vt:lpstr>postcost</vt:lpstr>
      <vt:lpstr>FM1_Mother!posttotalcost</vt:lpstr>
      <vt:lpstr>'FM3_Child A'!posttotalcost</vt:lpstr>
      <vt:lpstr>posttotalcost</vt:lpstr>
      <vt:lpstr>precost</vt:lpstr>
      <vt:lpstr>FM1_Mother!pretotalcost</vt:lpstr>
      <vt:lpstr>'FM3_Child A'!pretotalcost</vt:lpstr>
      <vt:lpstr>pretotalcost</vt:lpstr>
      <vt:lpstr>'Fam Chart'!Print_Area</vt:lpstr>
      <vt:lpstr>Start!Print_Area</vt:lpstr>
      <vt:lpstr>FM1_Mother!socialcare</vt:lpstr>
      <vt:lpstr>'FM3_Child A'!socialcare</vt:lpstr>
      <vt:lpstr>socialcare</vt:lpstr>
      <vt:lpstr>FM1_Mother!socialcarep</vt:lpstr>
      <vt:lpstr>'FM3_Child A'!socialcarep</vt:lpstr>
      <vt:lpstr>socialcarep</vt:lpstr>
      <vt:lpstr>startyear</vt:lpstr>
      <vt:lpstr>FM1_Mother!sumcrimeasb</vt:lpstr>
      <vt:lpstr>'FM3_Child A'!sumcrimeasb</vt:lpstr>
      <vt:lpstr>sumcrimeasb</vt:lpstr>
      <vt:lpstr>FM1_Mother!sumcrimeasb_actual</vt:lpstr>
      <vt:lpstr>'FM3_Child A'!sumcrimeasb_actual</vt:lpstr>
      <vt:lpstr>sumcrimeasb_actual</vt:lpstr>
      <vt:lpstr>FM1_Mother!sumdrugs</vt:lpstr>
      <vt:lpstr>'FM3_Child A'!sumdrugs</vt:lpstr>
      <vt:lpstr>sumdrugs</vt:lpstr>
      <vt:lpstr>FM1_Mother!sumdrugs_actual</vt:lpstr>
      <vt:lpstr>'FM3_Child A'!sumdrugs_actual</vt:lpstr>
      <vt:lpstr>sumdrugs_actual</vt:lpstr>
      <vt:lpstr>FM1_Mother!sumeducation</vt:lpstr>
      <vt:lpstr>'FM3_Child A'!sumeducation</vt:lpstr>
      <vt:lpstr>sumeducation</vt:lpstr>
      <vt:lpstr>FM1_Mother!sumeducation_actual</vt:lpstr>
      <vt:lpstr>'FM3_Child A'!sumeducation_actual</vt:lpstr>
      <vt:lpstr>sumeducation_actual</vt:lpstr>
      <vt:lpstr>FM1_Mother!sumextralines</vt:lpstr>
      <vt:lpstr>'FM3_Child A'!sumextralines</vt:lpstr>
      <vt:lpstr>sumextralines</vt:lpstr>
      <vt:lpstr>FM1_Mother!sumextralines_actual</vt:lpstr>
      <vt:lpstr>'FM3_Child A'!sumextralines_actual</vt:lpstr>
      <vt:lpstr>sumextralines_actual</vt:lpstr>
      <vt:lpstr>FM1_Mother!sumhealthcare</vt:lpstr>
      <vt:lpstr>'FM3_Child A'!sumhealthcare</vt:lpstr>
      <vt:lpstr>sumhealthcare</vt:lpstr>
      <vt:lpstr>FM1_Mother!sumhealthcare_actual</vt:lpstr>
      <vt:lpstr>'FM3_Child A'!sumhealthcare_actual</vt:lpstr>
      <vt:lpstr>sumhealthcare_actual</vt:lpstr>
      <vt:lpstr>FM1_Mother!sumhousing</vt:lpstr>
      <vt:lpstr>'FM3_Child A'!sumhousing</vt:lpstr>
      <vt:lpstr>sumhousing</vt:lpstr>
      <vt:lpstr>FM1_Mother!sumhousing_actual</vt:lpstr>
      <vt:lpstr>'FM3_Child A'!sumhousing_actual</vt:lpstr>
      <vt:lpstr>sumhousing_actual</vt:lpstr>
      <vt:lpstr>FM1_Mother!sumsocialcare</vt:lpstr>
      <vt:lpstr>'FM3_Child A'!sumsocialcare</vt:lpstr>
      <vt:lpstr>sumsocialcare</vt:lpstr>
      <vt:lpstr>FM1_Mother!sumsocialcare_actual</vt:lpstr>
      <vt:lpstr>'FM3_Child A'!sumsocialcare_actual</vt:lpstr>
      <vt:lpstr>sumsocialcare_actual</vt:lpstr>
      <vt:lpstr>totalcases</vt:lpstr>
      <vt:lpstr>totalchildren</vt:lpstr>
      <vt:lpstr>totalindividuals</vt:lpstr>
      <vt:lpstr>totalparents</vt:lpstr>
      <vt:lpstr>totalsaving</vt:lpstr>
      <vt:lpstr>FM1_Mother!units</vt:lpstr>
      <vt:lpstr>'FM3_Child A'!units</vt:lpstr>
      <vt:lpstr>units</vt:lpstr>
      <vt:lpstr>version</vt:lpstr>
      <vt:lpstr>yearsprojection</vt:lpstr>
    </vt:vector>
  </TitlesOfParts>
  <Company>Department for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Negative Outcomes Costing Tool Template</dc:title>
  <dc:subject/>
  <dc:creator>Jeffrey Ho</dc:creator>
  <cp:lastModifiedBy>Alex Osmond</cp:lastModifiedBy>
  <cp:lastPrinted>2011-09-21T15:34:10Z</cp:lastPrinted>
  <dcterms:created xsi:type="dcterms:W3CDTF">2009-10-12T15:01:38Z</dcterms:created>
  <dcterms:modified xsi:type="dcterms:W3CDTF">2017-07-25T13:33:44Z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1.5.7b</vt:lpwstr>
  </property>
  <property fmtid="{D5CDD505-2E9C-101B-9397-08002B2CF9AE}" pid="3" name="ContentType">
    <vt:lpwstr>Programme and Project Management</vt:lpwstr>
  </property>
  <property fmtid="{D5CDD505-2E9C-101B-9397-08002B2CF9AE}" pid="4" name="Project">
    <vt:lpwstr>Negative Outcomes Costing Tool Template</vt:lpwstr>
  </property>
  <property fmtid="{D5CDD505-2E9C-101B-9397-08002B2CF9AE}" pid="5" name="Objective-Id">
    <vt:lpwstr>A1844992</vt:lpwstr>
  </property>
  <property fmtid="{D5CDD505-2E9C-101B-9397-08002B2CF9AE}" pid="6" name="Objective-Title">
    <vt:lpwstr>NMSD - FAMILIES - Welsh Government Family Savings Calculator - 2011-10-03</vt:lpwstr>
  </property>
  <property fmtid="{D5CDD505-2E9C-101B-9397-08002B2CF9AE}" pid="7" name="Objective-Comment">
    <vt:lpwstr> </vt:lpwstr>
  </property>
  <property fmtid="{D5CDD505-2E9C-101B-9397-08002B2CF9AE}" pid="8" name="Objective-CreationStamp">
    <vt:filetime>2011-10-03T14:43:45Z</vt:filetime>
  </property>
  <property fmtid="{D5CDD505-2E9C-101B-9397-08002B2CF9AE}" pid="9" name="Objective-IsApproved">
    <vt:bool>false</vt:bool>
  </property>
  <property fmtid="{D5CDD505-2E9C-101B-9397-08002B2CF9AE}" pid="10" name="Objective-IsPublished">
    <vt:bool>false</vt:bool>
  </property>
  <property fmtid="{D5CDD505-2E9C-101B-9397-08002B2CF9AE}" pid="11" name="Objective-DatePublished">
    <vt:lpwstr> </vt:lpwstr>
  </property>
  <property fmtid="{D5CDD505-2E9C-101B-9397-08002B2CF9AE}" pid="12" name="Objective-ModificationStamp">
    <vt:filetime>2011-10-18T14:46:12Z</vt:filetime>
  </property>
  <property fmtid="{D5CDD505-2E9C-101B-9397-08002B2CF9AE}" pid="13" name="Objective-Owner">
    <vt:lpwstr>Greenall, Ceri (DFMC - SRD)</vt:lpwstr>
  </property>
  <property fmtid="{D5CDD505-2E9C-101B-9397-08002B2CF9AE}" pid="14" name="Objective-Path">
    <vt:lpwstr>Objective Global Folder:Corporate File Plan:PROGRAMME &amp; PROJECT MANAGEMENT:Efficiency &amp; Innovation Programme:02 - Governance:Efficiency &amp; Innovation Programme - New Models of Service Delivery Workstream Meetings - 2011:</vt:lpwstr>
  </property>
  <property fmtid="{D5CDD505-2E9C-101B-9397-08002B2CF9AE}" pid="15" name="Objective-Parent">
    <vt:lpwstr>Efficiency &amp; Innovation Programme - New Models of Service Delivery Workstream Meetings - 2011</vt:lpwstr>
  </property>
  <property fmtid="{D5CDD505-2E9C-101B-9397-08002B2CF9AE}" pid="16" name="Objective-State">
    <vt:lpwstr>Being Drafted</vt:lpwstr>
  </property>
  <property fmtid="{D5CDD505-2E9C-101B-9397-08002B2CF9AE}" pid="17" name="Objective-Version">
    <vt:lpwstr>0.13</vt:lpwstr>
  </property>
  <property fmtid="{D5CDD505-2E9C-101B-9397-08002B2CF9AE}" pid="18" name="Objective-VersionNumber">
    <vt:r8>13</vt:r8>
  </property>
  <property fmtid="{D5CDD505-2E9C-101B-9397-08002B2CF9AE}" pid="19" name="Objective-VersionComment">
    <vt:lpwstr>Changes 18/10</vt:lpwstr>
  </property>
  <property fmtid="{D5CDD505-2E9C-101B-9397-08002B2CF9AE}" pid="20" name="Objective-FileNumber">
    <vt:lpwstr> </vt:lpwstr>
  </property>
  <property fmtid="{D5CDD505-2E9C-101B-9397-08002B2CF9AE}" pid="21" name="Objective-Classification">
    <vt:lpwstr>[Inherited - Restricted]</vt:lpwstr>
  </property>
  <property fmtid="{D5CDD505-2E9C-101B-9397-08002B2CF9AE}" pid="22" name="Objective-Caveats">
    <vt:lpwstr> </vt:lpwstr>
  </property>
  <property fmtid="{D5CDD505-2E9C-101B-9397-08002B2CF9AE}" pid="23" name="Objective-Language [system]">
    <vt:lpwstr>English (eng)</vt:lpwstr>
  </property>
  <property fmtid="{D5CDD505-2E9C-101B-9397-08002B2CF9AE}" pid="24" name="Objective-Date Acquired [system]">
    <vt:filetime>2011-10-02T23:00:00Z</vt:filetime>
  </property>
  <property fmtid="{D5CDD505-2E9C-101B-9397-08002B2CF9AE}" pid="25" name="Objective-What to Keep [system]">
    <vt:lpwstr>No</vt:lpwstr>
  </property>
  <property fmtid="{D5CDD505-2E9C-101B-9397-08002B2CF9AE}" pid="26" name="Objective-Official Translation [system]">
    <vt:lpwstr> </vt:lpwstr>
  </property>
  <property fmtid="{D5CDD505-2E9C-101B-9397-08002B2CF9AE}" pid="27" name="ContentTypeId">
    <vt:lpwstr>0x010100484874429DEC7E4FBB60E7249B27952E</vt:lpwstr>
  </property>
</Properties>
</file>